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9000" windowHeight="4530" tabRatio="934" activeTab="5"/>
  </bookViews>
  <sheets>
    <sheet name="K" sheetId="183" r:id="rId1"/>
    <sheet name="O1" sheetId="182" r:id="rId2"/>
    <sheet name="I.st.-1gr." sheetId="184" r:id="rId3"/>
    <sheet name="I.st.-2gr." sheetId="185" r:id="rId4"/>
    <sheet name="I.st.-7.gr." sheetId="186" r:id="rId5"/>
    <sheet name="I.st.-8.gr." sheetId="187" r:id="rId6"/>
    <sheet name="I.st.-9.gr." sheetId="190" r:id="rId7"/>
    <sheet name="I.st.-10.gr." sheetId="191" r:id="rId8"/>
    <sheet name="2.st.-3.gr." sheetId="194" r:id="rId9"/>
    <sheet name="2.st.-4.gr." sheetId="193" r:id="rId10"/>
    <sheet name="2.st.-5.gr." sheetId="195" r:id="rId11"/>
    <sheet name="2.st.-6.gr." sheetId="196" r:id="rId12"/>
    <sheet name="2.st.-11.gr." sheetId="188" r:id="rId13"/>
    <sheet name="2.st.-12.gr." sheetId="197" r:id="rId14"/>
    <sheet name="KOPtelpas" sheetId="198" r:id="rId15"/>
  </sheets>
  <definedNames>
    <definedName name="beigas" localSheetId="12">#REF!</definedName>
    <definedName name="beigas" localSheetId="13">#REF!</definedName>
    <definedName name="beigas" localSheetId="8">#REF!</definedName>
    <definedName name="beigas" localSheetId="9">#REF!</definedName>
    <definedName name="beigas" localSheetId="10">#REF!</definedName>
    <definedName name="beigas" localSheetId="11">#REF!</definedName>
    <definedName name="beigas" localSheetId="7">#REF!</definedName>
    <definedName name="beigas" localSheetId="2">#REF!</definedName>
    <definedName name="beigas" localSheetId="3">#REF!</definedName>
    <definedName name="beigas" localSheetId="4">#REF!</definedName>
    <definedName name="beigas" localSheetId="5">#REF!</definedName>
    <definedName name="beigas" localSheetId="6">#REF!</definedName>
    <definedName name="beigas" localSheetId="0">#REF!</definedName>
    <definedName name="beigas" localSheetId="14">#REF!</definedName>
    <definedName name="beigas" localSheetId="1">#REF!</definedName>
    <definedName name="beigas">#REF!</definedName>
    <definedName name="_xlnm.Print_Area" localSheetId="12">'2.st.-11.gr.'!$A$2:$P$51</definedName>
    <definedName name="_xlnm.Print_Area" localSheetId="13">'2.st.-12.gr.'!$A$2:$P$56</definedName>
    <definedName name="_xlnm.Print_Area" localSheetId="8">'2.st.-3.gr.'!$A$2:$P$32</definedName>
    <definedName name="_xlnm.Print_Area" localSheetId="9">'2.st.-4.gr.'!$A$2:$P$55</definedName>
    <definedName name="_xlnm.Print_Area" localSheetId="10">'2.st.-5.gr.'!$A$2:$P$48</definedName>
    <definedName name="_xlnm.Print_Area" localSheetId="11">'2.st.-6.gr.'!$A$2:$P$69</definedName>
    <definedName name="_xlnm.Print_Area" localSheetId="7">'I.st.-10.gr.'!$A$2:$P$64</definedName>
    <definedName name="_xlnm.Print_Area" localSheetId="2">'I.st.-1gr.'!$A$2:$P$27</definedName>
    <definedName name="_xlnm.Print_Area" localSheetId="3">'I.st.-2gr.'!$A$2:$P$38</definedName>
    <definedName name="_xlnm.Print_Area" localSheetId="4">'I.st.-7.gr.'!$A$2:$P$43</definedName>
    <definedName name="_xlnm.Print_Area" localSheetId="5">'I.st.-8.gr.'!$A$2:$P$27</definedName>
    <definedName name="_xlnm.Print_Area" localSheetId="6">'I.st.-9.gr.'!$A$2:$P$47</definedName>
    <definedName name="_xlnm.Print_Area" localSheetId="0">K!$A$1:$D$29</definedName>
    <definedName name="_xlnm.Print_Area" localSheetId="14">KOPtelpas!$A$2:$P$160</definedName>
    <definedName name="_xlnm.Print_Area" localSheetId="1">'O1'!$A$1:$G$40</definedName>
  </definedNames>
  <calcPr calcId="145621"/>
</workbook>
</file>

<file path=xl/calcChain.xml><?xml version="1.0" encoding="utf-8"?>
<calcChain xmlns="http://schemas.openxmlformats.org/spreadsheetml/2006/main">
  <c r="E108" i="198" l="1"/>
  <c r="E115" i="198"/>
  <c r="E151" i="198"/>
  <c r="E152" i="198"/>
  <c r="E146" i="198"/>
  <c r="E148" i="198"/>
  <c r="E147" i="198"/>
  <c r="E143" i="198"/>
  <c r="E142" i="198"/>
  <c r="E141" i="198"/>
  <c r="E138" i="198"/>
  <c r="E137" i="198"/>
  <c r="E136" i="198"/>
  <c r="E135" i="198"/>
  <c r="E130" i="198"/>
  <c r="E127" i="198"/>
  <c r="E126" i="198"/>
  <c r="E125" i="198"/>
  <c r="E131" i="198" l="1"/>
  <c r="E132" i="198"/>
  <c r="E120" i="198" l="1"/>
  <c r="E119" i="198"/>
  <c r="E118" i="198"/>
  <c r="E113" i="198" l="1"/>
  <c r="E112" i="198"/>
  <c r="E111" i="198"/>
  <c r="E105" i="198"/>
  <c r="E104" i="198"/>
  <c r="E103" i="198"/>
  <c r="E101" i="198"/>
  <c r="E102" i="198" s="1"/>
  <c r="E100" i="198"/>
  <c r="E97" i="198"/>
  <c r="E96" i="198"/>
  <c r="E93" i="198"/>
  <c r="E95" i="198" s="1"/>
  <c r="E91" i="198"/>
  <c r="E90" i="198"/>
  <c r="E89" i="198"/>
  <c r="E88" i="198"/>
  <c r="E87" i="198"/>
  <c r="E86" i="198"/>
  <c r="E84" i="198"/>
  <c r="E83" i="198"/>
  <c r="E81" i="198"/>
  <c r="E82" i="198" s="1"/>
  <c r="E75" i="198"/>
  <c r="E74" i="198"/>
  <c r="E73" i="198"/>
  <c r="E106" i="198" l="1"/>
  <c r="E94" i="198"/>
  <c r="E98" i="198"/>
  <c r="E99" i="198" s="1"/>
  <c r="E46" i="198"/>
  <c r="E63" i="198"/>
  <c r="E67" i="198"/>
  <c r="E66" i="198"/>
  <c r="E65" i="198"/>
  <c r="E64" i="198"/>
  <c r="E61" i="198"/>
  <c r="E60" i="198"/>
  <c r="E58" i="198"/>
  <c r="E51" i="198"/>
  <c r="E50" i="198"/>
  <c r="E49" i="198"/>
  <c r="E48" i="198"/>
  <c r="E47" i="198"/>
  <c r="E68" i="198" l="1"/>
  <c r="E59" i="198"/>
  <c r="E44" i="198" l="1"/>
  <c r="E43" i="198"/>
  <c r="E41" i="198"/>
  <c r="E42" i="198" s="1"/>
  <c r="E34" i="198"/>
  <c r="E33" i="198"/>
  <c r="E24" i="198"/>
  <c r="E23" i="198"/>
  <c r="E19" i="198"/>
  <c r="E18" i="198"/>
  <c r="E17" i="198"/>
  <c r="A4" i="198" l="1"/>
  <c r="E29" i="198"/>
  <c r="E28" i="198"/>
  <c r="E27" i="198"/>
  <c r="E26" i="197"/>
  <c r="E48" i="197"/>
  <c r="E45" i="197"/>
  <c r="E44" i="197"/>
  <c r="E43" i="197"/>
  <c r="A4" i="197"/>
  <c r="E39" i="197"/>
  <c r="E38" i="197"/>
  <c r="E36" i="197"/>
  <c r="E35" i="197"/>
  <c r="E32" i="197"/>
  <c r="E31" i="197"/>
  <c r="E30" i="197"/>
  <c r="E29" i="197"/>
  <c r="E24" i="197"/>
  <c r="E23" i="197"/>
  <c r="E22" i="197"/>
  <c r="E19" i="197"/>
  <c r="E18" i="197"/>
  <c r="E17" i="197"/>
  <c r="E26" i="188"/>
  <c r="E28" i="188"/>
  <c r="E42" i="188"/>
  <c r="E41" i="188"/>
  <c r="E43" i="188" s="1"/>
  <c r="E39" i="188"/>
  <c r="E38" i="188"/>
  <c r="E35" i="188"/>
  <c r="E34" i="188"/>
  <c r="E33" i="188"/>
  <c r="E32" i="188"/>
  <c r="L153" i="198" l="1"/>
  <c r="L155" i="198" s="1"/>
  <c r="M153" i="198"/>
  <c r="M155" i="198" s="1"/>
  <c r="O153" i="198"/>
  <c r="O155" i="198" s="1"/>
  <c r="E40" i="197"/>
  <c r="L49" i="197"/>
  <c r="L51" i="197" s="1"/>
  <c r="M49" i="197"/>
  <c r="M51" i="197" s="1"/>
  <c r="O49" i="197"/>
  <c r="O51" i="197" s="1"/>
  <c r="P49" i="197" l="1"/>
  <c r="P153" i="198" l="1"/>
  <c r="N155" i="198"/>
  <c r="P154" i="198"/>
  <c r="P50" i="197"/>
  <c r="P51" i="197" s="1"/>
  <c r="P155" i="198" l="1"/>
  <c r="N51" i="197"/>
  <c r="E40" i="196" l="1"/>
  <c r="E54" i="196"/>
  <c r="E53" i="196"/>
  <c r="E51" i="196"/>
  <c r="E52" i="196" s="1"/>
  <c r="E38" i="196"/>
  <c r="E37" i="196"/>
  <c r="E35" i="196"/>
  <c r="E36" i="196" s="1"/>
  <c r="E61" i="196"/>
  <c r="E45" i="196" l="1"/>
  <c r="E44" i="196"/>
  <c r="E43" i="196"/>
  <c r="A4" i="196"/>
  <c r="E28" i="196"/>
  <c r="E27" i="196"/>
  <c r="E25" i="196"/>
  <c r="E19" i="196"/>
  <c r="E18" i="196"/>
  <c r="E17" i="196"/>
  <c r="O62" i="196" l="1"/>
  <c r="O64" i="196" s="1"/>
  <c r="E26" i="196"/>
  <c r="L62" i="196"/>
  <c r="L64" i="196" s="1"/>
  <c r="A4" i="195"/>
  <c r="E40" i="195"/>
  <c r="E39" i="195"/>
  <c r="E38" i="195"/>
  <c r="E35" i="195"/>
  <c r="E33" i="195"/>
  <c r="E32" i="195"/>
  <c r="E31" i="195"/>
  <c r="E28" i="195"/>
  <c r="E27" i="195"/>
  <c r="E25" i="195"/>
  <c r="E26" i="195" s="1"/>
  <c r="E19" i="195"/>
  <c r="E18" i="195"/>
  <c r="E17" i="195"/>
  <c r="E24" i="194"/>
  <c r="E23" i="194"/>
  <c r="E21" i="194"/>
  <c r="E22" i="194" s="1"/>
  <c r="A4" i="194"/>
  <c r="L25" i="194"/>
  <c r="L27" i="194" s="1"/>
  <c r="E47" i="193"/>
  <c r="E45" i="193"/>
  <c r="E44" i="193"/>
  <c r="E43" i="193"/>
  <c r="E40" i="193"/>
  <c r="E37" i="193"/>
  <c r="E28" i="193"/>
  <c r="E27" i="193"/>
  <c r="E25" i="193"/>
  <c r="E26" i="193" s="1"/>
  <c r="E35" i="193"/>
  <c r="A4" i="193"/>
  <c r="E33" i="193"/>
  <c r="E32" i="193"/>
  <c r="E31" i="193"/>
  <c r="E19" i="193"/>
  <c r="E18" i="193"/>
  <c r="E17" i="193"/>
  <c r="E42" i="191"/>
  <c r="E43" i="191"/>
  <c r="E31" i="191"/>
  <c r="E33" i="191" s="1"/>
  <c r="E32" i="191"/>
  <c r="E29" i="191"/>
  <c r="E28" i="191"/>
  <c r="E25" i="191"/>
  <c r="E24" i="191"/>
  <c r="E23" i="191"/>
  <c r="E22" i="191"/>
  <c r="P62" i="196" l="1"/>
  <c r="M62" i="196"/>
  <c r="M64" i="196" s="1"/>
  <c r="N64" i="196"/>
  <c r="L41" i="195"/>
  <c r="L43" i="195" s="1"/>
  <c r="O41" i="195"/>
  <c r="O43" i="195" s="1"/>
  <c r="M41" i="195"/>
  <c r="M43" i="195" s="1"/>
  <c r="O25" i="194"/>
  <c r="O27" i="194" s="1"/>
  <c r="M25" i="194"/>
  <c r="M27" i="194" s="1"/>
  <c r="O48" i="193"/>
  <c r="O50" i="193" s="1"/>
  <c r="L48" i="193"/>
  <c r="L50" i="193" s="1"/>
  <c r="P63" i="196" l="1"/>
  <c r="P64" i="196" s="1"/>
  <c r="P42" i="195"/>
  <c r="P25" i="194"/>
  <c r="M48" i="193"/>
  <c r="M50" i="193" s="1"/>
  <c r="P49" i="193"/>
  <c r="N43" i="195" l="1"/>
  <c r="P41" i="195"/>
  <c r="P43" i="195" s="1"/>
  <c r="N27" i="194"/>
  <c r="P26" i="194"/>
  <c r="P27" i="194" s="1"/>
  <c r="N50" i="193"/>
  <c r="P48" i="193"/>
  <c r="P50" i="193" s="1"/>
  <c r="E48" i="191" l="1"/>
  <c r="E40" i="191"/>
  <c r="E38" i="191"/>
  <c r="A4" i="191"/>
  <c r="E55" i="191"/>
  <c r="E53" i="191"/>
  <c r="E52" i="191"/>
  <c r="E51" i="191"/>
  <c r="E56" i="191" s="1"/>
  <c r="E47" i="191"/>
  <c r="E46" i="191"/>
  <c r="E37" i="191"/>
  <c r="E36" i="191"/>
  <c r="E19" i="191"/>
  <c r="E18" i="191"/>
  <c r="E17" i="191"/>
  <c r="E38" i="190"/>
  <c r="E39" i="190"/>
  <c r="E31" i="190"/>
  <c r="E30" i="190"/>
  <c r="E29" i="190"/>
  <c r="A4" i="190"/>
  <c r="E36" i="190"/>
  <c r="E35" i="190"/>
  <c r="E34" i="190"/>
  <c r="E26" i="190"/>
  <c r="E25" i="190"/>
  <c r="E24" i="190"/>
  <c r="E21" i="190"/>
  <c r="E19" i="190"/>
  <c r="E18" i="190"/>
  <c r="E17" i="190"/>
  <c r="A4" i="188"/>
  <c r="E24" i="188"/>
  <c r="E23" i="188"/>
  <c r="E22" i="188"/>
  <c r="E19" i="188"/>
  <c r="E18" i="188"/>
  <c r="E17" i="188"/>
  <c r="A4" i="187"/>
  <c r="E19" i="187"/>
  <c r="E18" i="187"/>
  <c r="E17" i="187"/>
  <c r="L20" i="187"/>
  <c r="L22" i="187" s="1"/>
  <c r="E21" i="186"/>
  <c r="E26" i="186"/>
  <c r="E25" i="186"/>
  <c r="E24" i="186"/>
  <c r="E30" i="186"/>
  <c r="E29" i="186"/>
  <c r="E35" i="186"/>
  <c r="E34" i="186"/>
  <c r="E33" i="186"/>
  <c r="A4" i="186"/>
  <c r="L44" i="188" l="1"/>
  <c r="L46" i="188" s="1"/>
  <c r="L57" i="191"/>
  <c r="L59" i="191" s="1"/>
  <c r="M57" i="191"/>
  <c r="M59" i="191" s="1"/>
  <c r="O57" i="191"/>
  <c r="O59" i="191" s="1"/>
  <c r="L40" i="190"/>
  <c r="L42" i="190" s="1"/>
  <c r="O40" i="190"/>
  <c r="O42" i="190" s="1"/>
  <c r="O44" i="188"/>
  <c r="O46" i="188" s="1"/>
  <c r="O20" i="187"/>
  <c r="O22" i="187" s="1"/>
  <c r="E30" i="185"/>
  <c r="N46" i="188" l="1"/>
  <c r="P44" i="188"/>
  <c r="N59" i="191"/>
  <c r="M40" i="190"/>
  <c r="M42" i="190" s="1"/>
  <c r="M44" i="188"/>
  <c r="M46" i="188" s="1"/>
  <c r="P20" i="187"/>
  <c r="M20" i="187"/>
  <c r="M22" i="187" s="1"/>
  <c r="N22" i="187"/>
  <c r="P21" i="187"/>
  <c r="P45" i="188" l="1"/>
  <c r="P46" i="188" s="1"/>
  <c r="P57" i="191"/>
  <c r="P58" i="191"/>
  <c r="P40" i="190"/>
  <c r="N42" i="190"/>
  <c r="P41" i="190"/>
  <c r="P22" i="187"/>
  <c r="E19" i="186"/>
  <c r="E18" i="186"/>
  <c r="E17" i="186"/>
  <c r="E28" i="185"/>
  <c r="E27" i="185"/>
  <c r="E25" i="185"/>
  <c r="E26" i="185" s="1"/>
  <c r="P59" i="191" l="1"/>
  <c r="P42" i="190"/>
  <c r="L36" i="186"/>
  <c r="L38" i="186" s="1"/>
  <c r="O36" i="186"/>
  <c r="O38" i="186" s="1"/>
  <c r="M36" i="186" l="1"/>
  <c r="M38" i="186" s="1"/>
  <c r="N38" i="186"/>
  <c r="P37" i="186"/>
  <c r="P36" i="186" l="1"/>
  <c r="P38" i="186" s="1"/>
  <c r="E19" i="185"/>
  <c r="E18" i="185"/>
  <c r="E17" i="185"/>
  <c r="E19" i="184"/>
  <c r="E18" i="184"/>
  <c r="A4" i="185"/>
  <c r="O9" i="186" l="1"/>
  <c r="L31" i="185"/>
  <c r="L33" i="185" s="1"/>
  <c r="E17" i="184"/>
  <c r="N33" i="185" l="1"/>
  <c r="M31" i="185"/>
  <c r="M33" i="185" s="1"/>
  <c r="O31" i="185"/>
  <c r="O33" i="185" s="1"/>
  <c r="P32" i="185" l="1"/>
  <c r="P31" i="185"/>
  <c r="P33" i="185" l="1"/>
  <c r="P21" i="184" l="1"/>
  <c r="L20" i="184" l="1"/>
  <c r="L22" i="184" s="1"/>
  <c r="O20" i="184" l="1"/>
  <c r="O22" i="184" s="1"/>
  <c r="M20" i="184"/>
  <c r="M22" i="184" s="1"/>
  <c r="P20" i="184" l="1"/>
  <c r="P22" i="184" s="1"/>
  <c r="A4" i="184" l="1"/>
  <c r="C35" i="182" l="1"/>
  <c r="C34" i="182" l="1"/>
  <c r="C33" i="182" l="1"/>
  <c r="C36" i="182" l="1"/>
  <c r="N22" i="184" l="1"/>
</calcChain>
</file>

<file path=xl/sharedStrings.xml><?xml version="1.0" encoding="utf-8"?>
<sst xmlns="http://schemas.openxmlformats.org/spreadsheetml/2006/main" count="1487" uniqueCount="266">
  <si>
    <t>Mērvienība</t>
  </si>
  <si>
    <t>Daudzums</t>
  </si>
  <si>
    <t>KOPĀ:</t>
  </si>
  <si>
    <t>1</t>
  </si>
  <si>
    <t xml:space="preserve">Pasūtījuma Nr: </t>
  </si>
  <si>
    <t>Nr. p. k.</t>
  </si>
  <si>
    <t>Kods</t>
  </si>
  <si>
    <t>Darba nosaukums (apraksts)</t>
  </si>
  <si>
    <t>Vienības izmaksas</t>
  </si>
  <si>
    <t>Kopā uz visu apjomu</t>
  </si>
  <si>
    <t>Laika norma (c/h)</t>
  </si>
  <si>
    <t>Darbietilpība (c/h)</t>
  </si>
  <si>
    <t>Kopā</t>
  </si>
  <si>
    <t>______________________________________</t>
  </si>
  <si>
    <t>BŪVNIECĪBAS KOPTĀME</t>
  </si>
  <si>
    <t>%</t>
  </si>
  <si>
    <t xml:space="preserve"> -</t>
  </si>
  <si>
    <t>Lokālās tāmes Nr.</t>
  </si>
  <si>
    <t>Lokālās tāmes nosaukums</t>
  </si>
  <si>
    <t>Kopējā darbietilpība (c/h):</t>
  </si>
  <si>
    <t>APSTIPRINU:</t>
  </si>
  <si>
    <t>Objekta tāmes Nr.</t>
  </si>
  <si>
    <t>Objekta tāmes nosaukums</t>
  </si>
  <si>
    <t>m</t>
  </si>
  <si>
    <t>m2</t>
  </si>
  <si>
    <t>Kalk.</t>
  </si>
  <si>
    <t>kompl.</t>
  </si>
  <si>
    <t>gb</t>
  </si>
  <si>
    <t>gb.</t>
  </si>
  <si>
    <t>2</t>
  </si>
  <si>
    <t>Objekta nosaukums: Telpu remonts</t>
  </si>
  <si>
    <t>Telpu remonts</t>
  </si>
  <si>
    <t>PVN, % (€)</t>
  </si>
  <si>
    <t>Lokālās tāmes izmaksas, €</t>
  </si>
  <si>
    <t>Pavisam būvizmaksas (€)</t>
  </si>
  <si>
    <t>Summa bez PVN (€)</t>
  </si>
  <si>
    <t>Lokālās tāmes izmaksas (€)</t>
  </si>
  <si>
    <t>Materiāli (€)</t>
  </si>
  <si>
    <t>Darba alga (€)</t>
  </si>
  <si>
    <t>Mehānismi (€)</t>
  </si>
  <si>
    <t>Kopā (€):</t>
  </si>
  <si>
    <t>Darba devēja sociālais nodoklis 23.59 % (€):</t>
  </si>
  <si>
    <t>Par kopējo summu (€):</t>
  </si>
  <si>
    <t>Tāmes izmaksas (€):</t>
  </si>
  <si>
    <t>Kopā (€)</t>
  </si>
  <si>
    <t>Summa (€)</t>
  </si>
  <si>
    <t>Darba samaksas likme (€/h)</t>
  </si>
  <si>
    <t>3</t>
  </si>
  <si>
    <t>4</t>
  </si>
  <si>
    <t>11-45b</t>
  </si>
  <si>
    <t>6-53 c</t>
  </si>
  <si>
    <t>Keramikas flīzes</t>
  </si>
  <si>
    <t>Flīžu līme SAKRET FK 25 kg</t>
  </si>
  <si>
    <t>Šuvju masa KN 2 kg. tonī</t>
  </si>
  <si>
    <t>Flīžu segums grīdai, ieskaitot betona pamatni</t>
  </si>
  <si>
    <t>Palīgmateriāli, betons</t>
  </si>
  <si>
    <t>1.grupa</t>
  </si>
  <si>
    <t>Objekta adrese: Parka iela Nr.22, Kuldīga, Kuldīgas novads</t>
  </si>
  <si>
    <t xml:space="preserve">Būves nosaukums: "Bitīte", pirmsskolas izglītības iestāde - attīstības centrs </t>
  </si>
  <si>
    <t>2.grupa</t>
  </si>
  <si>
    <t>7.grupa</t>
  </si>
  <si>
    <t>Palīgmateriāli</t>
  </si>
  <si>
    <t>8.grupa</t>
  </si>
  <si>
    <t>9.grupa</t>
  </si>
  <si>
    <t>10.grupa</t>
  </si>
  <si>
    <t>Mitrumizturīgi OSB plāksnes moduļi ar divpusēju laminējumu 1,0x1,5m, stiprinājumi</t>
  </si>
  <si>
    <t>3.grupa</t>
  </si>
  <si>
    <t>5 -2 7</t>
  </si>
  <si>
    <t>4.grupa</t>
  </si>
  <si>
    <t>5.grupa</t>
  </si>
  <si>
    <t>5</t>
  </si>
  <si>
    <t>6.grupa</t>
  </si>
  <si>
    <t>11.grupa</t>
  </si>
  <si>
    <t>KOPSAVILKUMS PA TELPU GRUPĀM Nr.1</t>
  </si>
  <si>
    <t>Telpu remonts 1.grupa</t>
  </si>
  <si>
    <t>Špaktele</t>
  </si>
  <si>
    <t>Grunts Sadolin Grund +</t>
  </si>
  <si>
    <t>Ieejas mezgla sienu attīrīšana, gruntēšana, špaktelēšana un krāsošana 2x, tai skaitā ailes</t>
  </si>
  <si>
    <t>kg</t>
  </si>
  <si>
    <t xml:space="preserve">Mazgājama pusmatēta krāsa SADOLIN EXPERT 12(ISO 11998) </t>
  </si>
  <si>
    <t>Lokālā tāme Nr.1</t>
  </si>
  <si>
    <t>Lokālā tāme Nr.2</t>
  </si>
  <si>
    <t>Telpu remonts 2.grupa</t>
  </si>
  <si>
    <t>Esošo grīdlīstu demontāža, saglabājot otrreizējai montāžai</t>
  </si>
  <si>
    <t>Esošā grīdas seguma demontāža</t>
  </si>
  <si>
    <t>Knauf Nivello 25kg pašizlīdzinošais grīdām 25kg</t>
  </si>
  <si>
    <t>6-56 c</t>
  </si>
  <si>
    <t>Linoleja ieklāšana iepriekš špaktelējot, grīdlīstes</t>
  </si>
  <si>
    <t>Heterogēns PVC linolejs Tarkett SUPRIME 2.2 mm, 34 klase vai analogs</t>
  </si>
  <si>
    <t>Dispersijas akrila līme 12 kg</t>
  </si>
  <si>
    <t>Metināšanas diegs</t>
  </si>
  <si>
    <t>Grīdas virsmas izlīdzināšana ar pašizlīdzinošu sastāvu</t>
  </si>
  <si>
    <t>5-89 b</t>
  </si>
  <si>
    <t>Putas Remontix Pro (114)</t>
  </si>
  <si>
    <t>Montāžas skava</t>
  </si>
  <si>
    <t>Iekšdurvju montāža uz gaiteni</t>
  </si>
  <si>
    <t>Telpu remonts 7.grupa</t>
  </si>
  <si>
    <t>Lokālā tāme Nr.3</t>
  </si>
  <si>
    <t>6</t>
  </si>
  <si>
    <t>Koka durvju 1000x2100(h)mm krāsošana</t>
  </si>
  <si>
    <t>SADOLIN AQUA WO</t>
  </si>
  <si>
    <t>Lokālā tāme Nr.7</t>
  </si>
  <si>
    <t>7</t>
  </si>
  <si>
    <t>8</t>
  </si>
  <si>
    <t>9</t>
  </si>
  <si>
    <t>10</t>
  </si>
  <si>
    <t>11</t>
  </si>
  <si>
    <t>12</t>
  </si>
  <si>
    <t>13</t>
  </si>
  <si>
    <t>Telpu remonts 3.grupa</t>
  </si>
  <si>
    <t>Telpu remonts 4.grupa</t>
  </si>
  <si>
    <t>Telpu remonts 5.grupa</t>
  </si>
  <si>
    <t>Telpu remonts 6.grupa</t>
  </si>
  <si>
    <t>Telpu remonts 8.grupa</t>
  </si>
  <si>
    <t>Telpu remonts 9.grupa</t>
  </si>
  <si>
    <t>Telpu remonts 10.grupa</t>
  </si>
  <si>
    <t>Telpu remonts 11.grupa</t>
  </si>
  <si>
    <t>Telpu remonts 12.grupa</t>
  </si>
  <si>
    <t>Koplietojamās telpas</t>
  </si>
  <si>
    <t>45.telpa</t>
  </si>
  <si>
    <t>44.telpa</t>
  </si>
  <si>
    <t>Telpas sienu attīrīšana, gruntēšana, špaktelēšana un krāsošana 2x, tai skaitā ailes</t>
  </si>
  <si>
    <t>76, 77.telpas</t>
  </si>
  <si>
    <t>Lokālā tāme Nr.8</t>
  </si>
  <si>
    <t>35.telpa</t>
  </si>
  <si>
    <t>Lokālā tāme Nr.11</t>
  </si>
  <si>
    <t>Lokālā tāme Nr.9</t>
  </si>
  <si>
    <t>78, 79.telpas</t>
  </si>
  <si>
    <t>11.telpa</t>
  </si>
  <si>
    <t>9.telpa</t>
  </si>
  <si>
    <t>10.telpa</t>
  </si>
  <si>
    <t>Kāpņu betona virsmas atjaunošana</t>
  </si>
  <si>
    <t>3-66 b</t>
  </si>
  <si>
    <t>1vieta</t>
  </si>
  <si>
    <t>TIFGRUNT</t>
  </si>
  <si>
    <t>Ceresit CN83</t>
  </si>
  <si>
    <t>Lokālā tāme Nr.10</t>
  </si>
  <si>
    <t>1.telpa</t>
  </si>
  <si>
    <t>2.telpa</t>
  </si>
  <si>
    <t>6.telpa</t>
  </si>
  <si>
    <t>Starpsienas izbūve ar reģipsi uz koka karkasa, b=100mm</t>
  </si>
  <si>
    <t>Akmens vate 100mm</t>
  </si>
  <si>
    <t>m3</t>
  </si>
  <si>
    <t xml:space="preserve">Skrūves </t>
  </si>
  <si>
    <t>Koka latas 50x100</t>
  </si>
  <si>
    <t xml:space="preserve">Reģipsis divās kārtās abas pusēs </t>
  </si>
  <si>
    <t>11-10b</t>
  </si>
  <si>
    <t>Iekšdurvju montāža demontētā ailē</t>
  </si>
  <si>
    <t>5-88 e</t>
  </si>
  <si>
    <t>Iekšējo  logu- vitrīnu montāža reģipša starpsienās</t>
  </si>
  <si>
    <t>PVC neverams logs ar stikla paketi 1200x2950(h) un 1200x1500(h)mm</t>
  </si>
  <si>
    <t>Durvju sliekšņa nofrēzēšana un nosegšana ar AL līsti b=10cm</t>
  </si>
  <si>
    <t>AL līste b=10cm</t>
  </si>
  <si>
    <t>Lokālā tāme Nr.4</t>
  </si>
  <si>
    <t>37.telpa</t>
  </si>
  <si>
    <t>38.telpa</t>
  </si>
  <si>
    <t>39.telpa</t>
  </si>
  <si>
    <t>Logopēda telpa</t>
  </si>
  <si>
    <t>Vertikālas žalūzijas BERLIN White Коds BER-140S Aptumšojums 55%</t>
  </si>
  <si>
    <t>Vertikālo žalūziju montāža, stiprinot pie sienas</t>
  </si>
  <si>
    <t>48.telpa</t>
  </si>
  <si>
    <t>Lokālā tāme Nr.5</t>
  </si>
  <si>
    <t>34.telpa</t>
  </si>
  <si>
    <t>32. telpa. Virtuve.</t>
  </si>
  <si>
    <t>Telpas griestu attīrīšana, gruntēšana, špaktelēšana un krāsošana 2x</t>
  </si>
  <si>
    <t>Lokālā tāme Nr.6</t>
  </si>
  <si>
    <t>21.telpa</t>
  </si>
  <si>
    <t>25.telpa</t>
  </si>
  <si>
    <t>22. telpa.Tualete.</t>
  </si>
  <si>
    <t>26. telpa.</t>
  </si>
  <si>
    <t>Materiāli- špakteles, grunts, krāsa uz 1m</t>
  </si>
  <si>
    <t>Pie kolonām vertikālo iekšējo stūru plaisu aizdarināšana, gruntēšana, špaktelēšana un krāsošana</t>
  </si>
  <si>
    <t>11-43b</t>
  </si>
  <si>
    <t>Flīžu grīdubetona pamatnes demontāža</t>
  </si>
  <si>
    <t>6-55</t>
  </si>
  <si>
    <t>Grīdlīstes izveidošana no flīzēm</t>
  </si>
  <si>
    <t>t.m.</t>
  </si>
  <si>
    <t>Mitrumizturīgas OSB plāksnes durvis ar divpusēju laminējumu 1,0x1,5m eņģes, aizbīdnis</t>
  </si>
  <si>
    <t>Laminētu starpsienu un durvju uzstādīšana tualetē</t>
  </si>
  <si>
    <t>Koka durvju 1000x2100(h)mm krāsošana, iepriekš sagatavojot virsmu</t>
  </si>
  <si>
    <t>Koka durvju bloks 770x2100(h)mm, pildiņu komplektā ar furnitūru, krāsots</t>
  </si>
  <si>
    <t xml:space="preserve">TAFELFARG ūdens bāzes akrilāta krāsa tāfelēm </t>
  </si>
  <si>
    <t>Sienas krāsošana ar tāfeles krāsu 1500x1500(h)mm, iepriekš sagatavojot virsmu</t>
  </si>
  <si>
    <t>Lokālā tāme Nr.12</t>
  </si>
  <si>
    <t>12.grupa</t>
  </si>
  <si>
    <t>13.telpa</t>
  </si>
  <si>
    <t>15.telpa</t>
  </si>
  <si>
    <t>12.telpa</t>
  </si>
  <si>
    <t>Ķieģeļu starpsienas demontāža durvju ailes ierīkošanai</t>
  </si>
  <si>
    <t>Lokālā tāme Nr.13</t>
  </si>
  <si>
    <t>Ieejas mezgla sienu attīrīšana, plaisu aizdarināšana, gruntēšana, špaktelēšana un krāsošana 2x, tai skaitā ailes</t>
  </si>
  <si>
    <t>74 un 75.telpa</t>
  </si>
  <si>
    <t>67.telpa</t>
  </si>
  <si>
    <t>Koka durvju bloks 1000x2100(h)mm, pildiņu, komplektā ar furnitūru un noseglīstēm</t>
  </si>
  <si>
    <t>Iekšdurvju demontāža uz gaiteni</t>
  </si>
  <si>
    <t>11-55a</t>
  </si>
  <si>
    <t>Koplietošanas telpas</t>
  </si>
  <si>
    <t xml:space="preserve">Iekšdurvju demontāža </t>
  </si>
  <si>
    <t>Koka durvju bloks 1000x2100(h)mm, pildiņu, furnitūra, seglīstes</t>
  </si>
  <si>
    <t>Esošo grīdlīstu demontāža</t>
  </si>
  <si>
    <t>Linoleja ieklāšana iepriekš špaktelējot grīdas virsmu</t>
  </si>
  <si>
    <t>34.telpa- gaitenis</t>
  </si>
  <si>
    <t>52.telpa- gaitenis</t>
  </si>
  <si>
    <t>51.telpa- metodiskais kabinets</t>
  </si>
  <si>
    <t>21.telpa- gaitenis</t>
  </si>
  <si>
    <t>6-33 b</t>
  </si>
  <si>
    <t>Koka grīdlīstu pielikšana</t>
  </si>
  <si>
    <t>Koka grīdlīstes 20x60 mm</t>
  </si>
  <si>
    <t>Skrūves ar dībeļiem</t>
  </si>
  <si>
    <t>SNICKERI 2.5l špaktele kokam</t>
  </si>
  <si>
    <t>Smilšpapīrs</t>
  </si>
  <si>
    <t>Laka RLKR Duokron, matēta, 2.7 l</t>
  </si>
  <si>
    <t>Līmlenta krāsotājam, Kreps263 25mmx50m</t>
  </si>
  <si>
    <t>gab.</t>
  </si>
  <si>
    <t>27. un 24.telpa- saimniecības</t>
  </si>
  <si>
    <t>5-35 a, 9-40</t>
  </si>
  <si>
    <t>m²</t>
  </si>
  <si>
    <t>Met.prof.UD 28 l=3000</t>
  </si>
  <si>
    <t>Naglu dībelis 6X40 100gab./kaste</t>
  </si>
  <si>
    <t xml:space="preserve">Amort.lenta 30mm 30m </t>
  </si>
  <si>
    <t>Met.prof.CD 60/27 l=3000</t>
  </si>
  <si>
    <t>Metāla ripa</t>
  </si>
  <si>
    <t>U-veida skava</t>
  </si>
  <si>
    <t>Skrūve metāla profiliem (WSK) 3.5x9.5 ar priekšurbi</t>
  </si>
  <si>
    <t>100 gb</t>
  </si>
  <si>
    <t>Krustveida savienot. CD 60/27 NĀKOTNE</t>
  </si>
  <si>
    <t>Reģipsis standarta 1.2 x 3.0 F13 NORG GKB</t>
  </si>
  <si>
    <t>loksne</t>
  </si>
  <si>
    <t>Reģipša skrūves ar smalko vītni (FSK) 3,5x25</t>
  </si>
  <si>
    <t>100gab</t>
  </si>
  <si>
    <t>Sietlente reģipša šuvēm 48mmx90m</t>
  </si>
  <si>
    <t>Špaktele šuvēm Fugenfuller 25 kg</t>
  </si>
  <si>
    <t>Ģipša kartona plātņu apšuvuma izveidošana uz metāla karkasa nišā</t>
  </si>
  <si>
    <t>Atdures montāža 10.grupas ieejas durvīm</t>
  </si>
  <si>
    <t>Metāla atdure</t>
  </si>
  <si>
    <t>Stiklots koka durvju bloks 1000x2100(h)mm, pildiņu, komplektā ar furnitūru un noseglīstēm</t>
  </si>
  <si>
    <t xml:space="preserve">Iekšdurvju ar stiklojumu montāža </t>
  </si>
  <si>
    <t xml:space="preserve">Kāpņu telpas sienu 1,2m augstumā  attīrīšana, gruntēšana, špaktelēšana un krāsošana 2x, </t>
  </si>
  <si>
    <t>4-39 b</t>
  </si>
  <si>
    <t>Ārējās skārda palodzes pārlikšana palielinot slīpumu līdz i=0,15</t>
  </si>
  <si>
    <t>Materiāli- skrūves, hermētiķis uz 1m</t>
  </si>
  <si>
    <t xml:space="preserve"> 70. un 71.telpa- ieejas mezgls II. Kāpņu telpa.</t>
  </si>
  <si>
    <t xml:space="preserve"> Galvenais ieejas mezgls I. Kāpņu telpa.</t>
  </si>
  <si>
    <t xml:space="preserve">Kāpņu telpas sienu attīrīšana, gruntēšana, špaktelēšana un krāsošana 2x, </t>
  </si>
  <si>
    <t>22.telpa - veļas mazgātuve</t>
  </si>
  <si>
    <t>8-47 b</t>
  </si>
  <si>
    <t>Sienas flīzes</t>
  </si>
  <si>
    <t>Flīžu līstes 2.5 m</t>
  </si>
  <si>
    <t>Flīžu sienu un grīdu seguma demontāža</t>
  </si>
  <si>
    <t>Telpas sienu virs flīzēm, attīrīšana, gruntēšana, špaktelēšana un krāsošana 2x, tai skaitā ailes</t>
  </si>
  <si>
    <t>Sienu flīzēšana 1.5m augstumā</t>
  </si>
  <si>
    <t>Kāpņu pakāpieni</t>
  </si>
  <si>
    <t>Metāla režģi - kājslauķi</t>
  </si>
  <si>
    <t>Betona pakāpienu vertikālo virsmu attīrīšana, gruntēšana, špaktelēšana un krāsošana 2x</t>
  </si>
  <si>
    <t xml:space="preserve">Grunts Sadolin </t>
  </si>
  <si>
    <t xml:space="preserve">Mazgājama, nodilumizturīga, pusmatēta SADOLIN krāsa betonam </t>
  </si>
  <si>
    <t>Metāla režģu montāža esošās betona gropēs</t>
  </si>
  <si>
    <t>Režģis 670x470mm no tērauda sloksnēm 3x25mm, analogs esošajam, krāsots</t>
  </si>
  <si>
    <t>Antikorozijas krāsa HAMMERITE Hammered melna</t>
  </si>
  <si>
    <t>Tāme sastādīta:</t>
  </si>
  <si>
    <t>Virsizdevumi __ %, tsk darba aizsardzībai (€):</t>
  </si>
  <si>
    <t>Transporta izmaksas ____ % no materiālu izmaksām:</t>
  </si>
  <si>
    <t>Transporta izmaksas _____% no materiālu izmaksām:</t>
  </si>
  <si>
    <t>Transporta izmaksas ___ % no materiālu izmaksām:</t>
  </si>
  <si>
    <t>Transporta izmaksas _____ % no materiālu izmaksām:</t>
  </si>
  <si>
    <t>Peļņa ____ % (€):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</si>
</sst>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  <font>
      <b/>
      <sz val="11"/>
      <name val="Tahoma"/>
      <family val="2"/>
      <charset val="186"/>
    </font>
    <font>
      <sz val="10"/>
      <name val="Helv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sz val="9"/>
      <name val="Arial"/>
      <family val="2"/>
      <charset val="186"/>
    </font>
    <font>
      <sz val="9"/>
      <color indexed="10"/>
      <name val="Tahoma"/>
      <family val="2"/>
      <charset val="186"/>
    </font>
    <font>
      <b/>
      <sz val="10"/>
      <name val="Tahoma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8"/>
      <name val="Tahoma"/>
      <family val="2"/>
      <charset val="186"/>
    </font>
    <font>
      <sz val="14"/>
      <color indexed="10"/>
      <name val="Tahoma"/>
      <family val="2"/>
      <charset val="186"/>
    </font>
    <font>
      <sz val="10"/>
      <color indexed="10"/>
      <name val="Tahoma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2"/>
      <color indexed="10"/>
      <name val="Tahoma"/>
      <family val="2"/>
      <charset val="186"/>
    </font>
    <font>
      <sz val="8"/>
      <color indexed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9"/>
      <color rgb="FFFF0000"/>
      <name val="Tahoma"/>
      <family val="2"/>
      <charset val="186"/>
    </font>
    <font>
      <sz val="9"/>
      <name val="Tahoma"/>
      <family val="2"/>
      <charset val="204"/>
    </font>
    <font>
      <sz val="9"/>
      <color theme="4"/>
      <name val="Tahoma"/>
      <family val="2"/>
      <charset val="186"/>
    </font>
    <font>
      <sz val="9"/>
      <color theme="4"/>
      <name val="Tahoma"/>
      <family val="2"/>
      <charset val="204"/>
    </font>
    <font>
      <sz val="10"/>
      <name val="Tahoma"/>
      <family val="2"/>
      <charset val="204"/>
    </font>
    <font>
      <sz val="9"/>
      <color rgb="FF0070C0"/>
      <name val="Tahoma"/>
      <family val="2"/>
      <charset val="186"/>
    </font>
    <font>
      <sz val="12"/>
      <name val="LaMelior"/>
      <charset val="186"/>
    </font>
    <font>
      <sz val="9"/>
      <color theme="3"/>
      <name val="Tahoma"/>
      <family val="2"/>
      <charset val="186"/>
    </font>
    <font>
      <sz val="9"/>
      <color theme="3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9" fillId="23" borderId="7" applyNumberFormat="0" applyFont="0" applyAlignment="0" applyProtection="0"/>
    <xf numFmtId="0" fontId="30" fillId="20" borderId="8" applyNumberFormat="0" applyAlignment="0" applyProtection="0"/>
    <xf numFmtId="0" fontId="5" fillId="0" borderId="0"/>
    <xf numFmtId="0" fontId="5" fillId="0" borderId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5" fillId="0" borderId="0"/>
  </cellStyleXfs>
  <cellXfs count="495">
    <xf numFmtId="0" fontId="0" fillId="0" borderId="0" xfId="0"/>
    <xf numFmtId="0" fontId="9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Continuous" vertical="center" wrapText="1"/>
    </xf>
    <xf numFmtId="0" fontId="35" fillId="0" borderId="0" xfId="0" applyFont="1" applyFill="1" applyBorder="1" applyAlignment="1">
      <alignment horizontal="centerContinuous" vertical="center"/>
    </xf>
    <xf numFmtId="0" fontId="6" fillId="0" borderId="0" xfId="39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/>
    <xf numFmtId="0" fontId="2" fillId="0" borderId="0" xfId="38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10" fontId="7" fillId="0" borderId="17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10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right" vertical="center"/>
    </xf>
    <xf numFmtId="0" fontId="6" fillId="0" borderId="0" xfId="38" applyFont="1" applyFill="1"/>
    <xf numFmtId="0" fontId="6" fillId="0" borderId="0" xfId="38" applyFont="1" applyFill="1" applyBorder="1" applyAlignment="1">
      <alignment horizontal="centerContinuous" vertical="center" wrapText="1"/>
    </xf>
    <xf numFmtId="0" fontId="6" fillId="0" borderId="0" xfId="38" applyFont="1" applyFill="1" applyBorder="1" applyAlignment="1">
      <alignment horizontal="centerContinuous" vertical="center"/>
    </xf>
    <xf numFmtId="0" fontId="6" fillId="0" borderId="0" xfId="38" applyFont="1" applyFill="1" applyBorder="1" applyAlignment="1">
      <alignment horizontal="center" vertical="center"/>
    </xf>
    <xf numFmtId="49" fontId="6" fillId="0" borderId="0" xfId="38" applyNumberFormat="1" applyFont="1" applyFill="1" applyBorder="1" applyAlignment="1">
      <alignment horizontal="center" vertical="center" wrapText="1"/>
    </xf>
    <xf numFmtId="0" fontId="6" fillId="0" borderId="0" xfId="38" applyFont="1" applyFill="1" applyBorder="1" applyAlignment="1">
      <alignment horizontal="left" vertical="center"/>
    </xf>
    <xf numFmtId="2" fontId="7" fillId="0" borderId="0" xfId="38" applyNumberFormat="1" applyFont="1" applyFill="1" applyBorder="1" applyAlignment="1">
      <alignment horizontal="left" vertical="center"/>
    </xf>
    <xf numFmtId="0" fontId="7" fillId="0" borderId="0" xfId="38" applyFont="1" applyFill="1" applyBorder="1" applyAlignment="1">
      <alignment horizontal="centerContinuous" vertical="center"/>
    </xf>
    <xf numFmtId="0" fontId="7" fillId="0" borderId="23" xfId="38" applyFont="1" applyFill="1" applyBorder="1" applyAlignment="1">
      <alignment horizontal="center" vertical="center" textRotation="90" wrapText="1"/>
    </xf>
    <xf numFmtId="0" fontId="7" fillId="0" borderId="24" xfId="38" applyFont="1" applyFill="1" applyBorder="1" applyAlignment="1">
      <alignment horizontal="center" vertical="center" textRotation="90" wrapText="1"/>
    </xf>
    <xf numFmtId="0" fontId="7" fillId="0" borderId="25" xfId="38" applyFont="1" applyFill="1" applyBorder="1" applyAlignment="1">
      <alignment horizontal="center" vertical="center" textRotation="90" wrapText="1"/>
    </xf>
    <xf numFmtId="49" fontId="6" fillId="0" borderId="0" xfId="38" applyNumberFormat="1" applyFont="1" applyFill="1"/>
    <xf numFmtId="49" fontId="6" fillId="0" borderId="29" xfId="42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right"/>
    </xf>
    <xf numFmtId="0" fontId="7" fillId="0" borderId="32" xfId="0" applyFont="1" applyFill="1" applyBorder="1" applyAlignment="1">
      <alignment horizontal="right" vertical="center" wrapText="1"/>
    </xf>
    <xf numFmtId="4" fontId="7" fillId="0" borderId="34" xfId="0" applyNumberFormat="1" applyFont="1" applyFill="1" applyBorder="1" applyAlignment="1">
      <alignment horizontal="center" vertical="center"/>
    </xf>
    <xf numFmtId="4" fontId="2" fillId="24" borderId="30" xfId="0" applyNumberFormat="1" applyFont="1" applyFill="1" applyBorder="1" applyAlignment="1">
      <alignment horizontal="center" vertical="center"/>
    </xf>
    <xf numFmtId="4" fontId="2" fillId="24" borderId="33" xfId="0" applyNumberFormat="1" applyFont="1" applyFill="1" applyBorder="1" applyAlignment="1">
      <alignment horizontal="center" vertical="center"/>
    </xf>
    <xf numFmtId="4" fontId="2" fillId="24" borderId="15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0" xfId="38" applyFont="1" applyFill="1" applyBorder="1" applyAlignment="1">
      <alignment horizontal="left" vertical="center"/>
    </xf>
    <xf numFmtId="49" fontId="15" fillId="0" borderId="0" xfId="38" applyNumberFormat="1" applyFont="1" applyFill="1" applyBorder="1" applyAlignment="1">
      <alignment horizontal="center" vertical="center" wrapText="1"/>
    </xf>
    <xf numFmtId="0" fontId="2" fillId="0" borderId="0" xfId="38" applyFont="1" applyFill="1" applyBorder="1" applyAlignment="1">
      <alignment horizontal="centerContinuous" vertical="center" wrapText="1"/>
    </xf>
    <xf numFmtId="0" fontId="2" fillId="0" borderId="0" xfId="38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4" borderId="15" xfId="42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righ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4" fontId="6" fillId="0" borderId="19" xfId="0" applyNumberFormat="1" applyFont="1" applyFill="1" applyBorder="1" applyAlignment="1">
      <alignment horizontal="left" vertical="center"/>
    </xf>
    <xf numFmtId="0" fontId="2" fillId="0" borderId="0" xfId="38" applyFont="1" applyFill="1" applyBorder="1" applyAlignment="1">
      <alignment horizontal="centerContinuous" vertical="center"/>
    </xf>
    <xf numFmtId="0" fontId="2" fillId="0" borderId="0" xfId="38" applyFont="1" applyFill="1" applyBorder="1" applyAlignment="1">
      <alignment horizontal="center" vertical="center"/>
    </xf>
    <xf numFmtId="0" fontId="10" fillId="0" borderId="0" xfId="38" applyFont="1" applyFill="1" applyBorder="1" applyAlignment="1">
      <alignment vertical="center"/>
    </xf>
    <xf numFmtId="49" fontId="2" fillId="0" borderId="0" xfId="38" applyNumberFormat="1" applyFont="1" applyFill="1" applyBorder="1" applyAlignment="1">
      <alignment horizontal="center" vertical="center" wrapText="1"/>
    </xf>
    <xf numFmtId="2" fontId="10" fillId="0" borderId="0" xfId="38" applyNumberFormat="1" applyFont="1" applyFill="1" applyBorder="1" applyAlignment="1">
      <alignment horizontal="left" vertical="center"/>
    </xf>
    <xf numFmtId="0" fontId="7" fillId="0" borderId="22" xfId="38" applyFont="1" applyFill="1" applyBorder="1" applyAlignment="1">
      <alignment horizontal="center" vertical="center" textRotation="90" wrapText="1"/>
    </xf>
    <xf numFmtId="0" fontId="39" fillId="0" borderId="0" xfId="38" applyFont="1" applyFill="1"/>
    <xf numFmtId="0" fontId="39" fillId="0" borderId="0" xfId="38" applyFont="1" applyFill="1" applyBorder="1" applyAlignment="1">
      <alignment horizontal="right"/>
    </xf>
    <xf numFmtId="2" fontId="39" fillId="0" borderId="0" xfId="38" applyNumberFormat="1" applyFont="1" applyFill="1" applyBorder="1" applyAlignment="1">
      <alignment horizontal="center"/>
    </xf>
    <xf numFmtId="49" fontId="39" fillId="0" borderId="0" xfId="38" applyNumberFormat="1" applyFont="1" applyFill="1"/>
    <xf numFmtId="49" fontId="40" fillId="0" borderId="14" xfId="0" applyNumberFormat="1" applyFont="1" applyFill="1" applyBorder="1" applyAlignment="1">
      <alignment horizontal="center" vertical="top"/>
    </xf>
    <xf numFmtId="0" fontId="40" fillId="24" borderId="15" xfId="39" applyFont="1" applyFill="1" applyBorder="1" applyAlignment="1">
      <alignment horizontal="center"/>
    </xf>
    <xf numFmtId="0" fontId="40" fillId="24" borderId="15" xfId="47" applyFont="1" applyFill="1" applyBorder="1" applyAlignment="1">
      <alignment wrapText="1"/>
    </xf>
    <xf numFmtId="0" fontId="40" fillId="0" borderId="15" xfId="0" applyFont="1" applyFill="1" applyBorder="1" applyAlignment="1">
      <alignment horizontal="center" vertical="center"/>
    </xf>
    <xf numFmtId="2" fontId="40" fillId="0" borderId="42" xfId="47" applyNumberFormat="1" applyFont="1" applyFill="1" applyBorder="1" applyAlignment="1">
      <alignment horizontal="center"/>
    </xf>
    <xf numFmtId="2" fontId="40" fillId="0" borderId="14" xfId="0" applyNumberFormat="1" applyFont="1" applyFill="1" applyBorder="1" applyAlignment="1">
      <alignment horizontal="center" vertical="center"/>
    </xf>
    <xf numFmtId="2" fontId="40" fillId="0" borderId="15" xfId="39" applyNumberFormat="1" applyFont="1" applyFill="1" applyBorder="1" applyAlignment="1">
      <alignment horizontal="center"/>
    </xf>
    <xf numFmtId="2" fontId="40" fillId="0" borderId="15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40" fillId="0" borderId="35" xfId="0" applyNumberFormat="1" applyFont="1" applyFill="1" applyBorder="1" applyAlignment="1">
      <alignment horizontal="center" vertical="center"/>
    </xf>
    <xf numFmtId="0" fontId="40" fillId="0" borderId="0" xfId="38" applyFont="1" applyFill="1"/>
    <xf numFmtId="0" fontId="7" fillId="0" borderId="22" xfId="38" applyFont="1" applyFill="1" applyBorder="1" applyAlignment="1">
      <alignment horizontal="center" vertical="center" textRotation="90" wrapText="1"/>
    </xf>
    <xf numFmtId="0" fontId="7" fillId="0" borderId="22" xfId="38" applyFont="1" applyFill="1" applyBorder="1" applyAlignment="1">
      <alignment horizontal="center" vertical="center" textRotation="90" wrapText="1"/>
    </xf>
    <xf numFmtId="49" fontId="2" fillId="24" borderId="36" xfId="42" applyNumberFormat="1" applyFont="1" applyFill="1" applyBorder="1" applyAlignment="1">
      <alignment horizontal="center" vertical="center" wrapText="1"/>
    </xf>
    <xf numFmtId="0" fontId="2" fillId="24" borderId="37" xfId="42" applyFont="1" applyFill="1" applyBorder="1" applyAlignment="1">
      <alignment horizontal="center" vertical="center" wrapText="1"/>
    </xf>
    <xf numFmtId="4" fontId="2" fillId="24" borderId="37" xfId="0" applyNumberFormat="1" applyFont="1" applyFill="1" applyBorder="1" applyAlignment="1">
      <alignment horizontal="center" vertical="center"/>
    </xf>
    <xf numFmtId="49" fontId="2" fillId="24" borderId="15" xfId="42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top"/>
    </xf>
    <xf numFmtId="0" fontId="42" fillId="0" borderId="15" xfId="0" applyFont="1" applyFill="1" applyBorder="1" applyAlignment="1">
      <alignment horizontal="center" vertical="center"/>
    </xf>
    <xf numFmtId="2" fontId="42" fillId="0" borderId="14" xfId="0" applyNumberFormat="1" applyFont="1" applyFill="1" applyBorder="1" applyAlignment="1">
      <alignment horizontal="center" vertical="center"/>
    </xf>
    <xf numFmtId="2" fontId="42" fillId="0" borderId="15" xfId="39" applyNumberFormat="1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35" xfId="0" applyNumberFormat="1" applyFont="1" applyFill="1" applyBorder="1" applyAlignment="1">
      <alignment horizontal="center" vertical="center"/>
    </xf>
    <xf numFmtId="0" fontId="42" fillId="0" borderId="0" xfId="38" applyFont="1" applyFill="1"/>
    <xf numFmtId="49" fontId="40" fillId="0" borderId="14" xfId="43" applyNumberFormat="1" applyFont="1" applyFill="1" applyBorder="1" applyAlignment="1">
      <alignment horizontal="center" vertical="top"/>
    </xf>
    <xf numFmtId="49" fontId="40" fillId="0" borderId="15" xfId="49" applyNumberFormat="1" applyFont="1" applyFill="1" applyBorder="1" applyAlignment="1">
      <alignment horizontal="center" vertical="top"/>
    </xf>
    <xf numFmtId="0" fontId="40" fillId="0" borderId="15" xfId="49" applyFont="1" applyFill="1" applyBorder="1" applyAlignment="1">
      <alignment vertical="justify"/>
    </xf>
    <xf numFmtId="0" fontId="40" fillId="0" borderId="15" xfId="43" applyFont="1" applyFill="1" applyBorder="1" applyAlignment="1">
      <alignment horizontal="center"/>
    </xf>
    <xf numFmtId="2" fontId="40" fillId="0" borderId="42" xfId="49" applyNumberFormat="1" applyFont="1" applyFill="1" applyBorder="1" applyAlignment="1">
      <alignment horizontal="center"/>
    </xf>
    <xf numFmtId="2" fontId="40" fillId="0" borderId="14" xfId="49" applyNumberFormat="1" applyFont="1" applyFill="1" applyBorder="1" applyAlignment="1">
      <alignment horizontal="center"/>
    </xf>
    <xf numFmtId="2" fontId="40" fillId="0" borderId="15" xfId="49" applyNumberFormat="1" applyFont="1" applyFill="1" applyBorder="1" applyAlignment="1">
      <alignment horizontal="center"/>
    </xf>
    <xf numFmtId="2" fontId="40" fillId="0" borderId="10" xfId="49" applyNumberFormat="1" applyFont="1" applyFill="1" applyBorder="1" applyAlignment="1">
      <alignment horizontal="center"/>
    </xf>
    <xf numFmtId="2" fontId="40" fillId="0" borderId="35" xfId="49" applyNumberFormat="1" applyFont="1" applyFill="1" applyBorder="1" applyAlignment="1">
      <alignment horizontal="center"/>
    </xf>
    <xf numFmtId="0" fontId="40" fillId="24" borderId="15" xfId="43" applyFont="1" applyFill="1" applyBorder="1" applyAlignment="1">
      <alignment horizontal="center"/>
    </xf>
    <xf numFmtId="2" fontId="40" fillId="24" borderId="14" xfId="48" applyNumberFormat="1" applyFont="1" applyFill="1" applyBorder="1" applyAlignment="1">
      <alignment horizontal="center"/>
    </xf>
    <xf numFmtId="2" fontId="40" fillId="24" borderId="15" xfId="39" applyNumberFormat="1" applyFont="1" applyFill="1" applyBorder="1" applyAlignment="1">
      <alignment horizontal="center"/>
    </xf>
    <xf numFmtId="2" fontId="40" fillId="24" borderId="10" xfId="39" applyNumberFormat="1" applyFont="1" applyFill="1" applyBorder="1" applyAlignment="1">
      <alignment horizontal="center"/>
    </xf>
    <xf numFmtId="2" fontId="40" fillId="24" borderId="35" xfId="39" applyNumberFormat="1" applyFont="1" applyFill="1" applyBorder="1" applyAlignment="1">
      <alignment horizontal="center"/>
    </xf>
    <xf numFmtId="2" fontId="40" fillId="24" borderId="15" xfId="43" applyNumberFormat="1" applyFont="1" applyFill="1" applyBorder="1" applyAlignment="1">
      <alignment horizontal="center"/>
    </xf>
    <xf numFmtId="49" fontId="40" fillId="24" borderId="15" xfId="43" applyNumberFormat="1" applyFont="1" applyFill="1" applyBorder="1" applyAlignment="1">
      <alignment horizontal="center" vertical="top"/>
    </xf>
    <xf numFmtId="0" fontId="40" fillId="24" borderId="15" xfId="43" applyFont="1" applyFill="1" applyBorder="1" applyAlignment="1">
      <alignment horizontal="justify"/>
    </xf>
    <xf numFmtId="2" fontId="40" fillId="24" borderId="14" xfId="43" applyNumberFormat="1" applyFont="1" applyFill="1" applyBorder="1" applyAlignment="1">
      <alignment horizontal="center"/>
    </xf>
    <xf numFmtId="2" fontId="40" fillId="24" borderId="10" xfId="43" applyNumberFormat="1" applyFont="1" applyFill="1" applyBorder="1" applyAlignment="1">
      <alignment horizontal="center"/>
    </xf>
    <xf numFmtId="2" fontId="40" fillId="24" borderId="35" xfId="43" applyNumberFormat="1" applyFont="1" applyFill="1" applyBorder="1" applyAlignment="1">
      <alignment horizontal="center"/>
    </xf>
    <xf numFmtId="49" fontId="42" fillId="0" borderId="15" xfId="0" applyNumberFormat="1" applyFont="1" applyFill="1" applyBorder="1" applyAlignment="1">
      <alignment horizontal="center" vertical="top"/>
    </xf>
    <xf numFmtId="0" fontId="42" fillId="0" borderId="15" xfId="0" applyFont="1" applyFill="1" applyBorder="1" applyAlignment="1">
      <alignment horizontal="left" vertical="justify" indent="2"/>
    </xf>
    <xf numFmtId="2" fontId="42" fillId="0" borderId="42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indent="2"/>
    </xf>
    <xf numFmtId="2" fontId="42" fillId="0" borderId="15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wrapText="1" indent="2"/>
    </xf>
    <xf numFmtId="49" fontId="42" fillId="0" borderId="14" xfId="43" applyNumberFormat="1" applyFont="1" applyFill="1" applyBorder="1" applyAlignment="1">
      <alignment horizontal="center" vertical="top"/>
    </xf>
    <xf numFmtId="0" fontId="42" fillId="0" borderId="15" xfId="43" applyFont="1" applyFill="1" applyBorder="1" applyAlignment="1">
      <alignment horizontal="center" vertical="top"/>
    </xf>
    <xf numFmtId="0" fontId="42" fillId="24" borderId="15" xfId="43" applyFont="1" applyFill="1" applyBorder="1" applyAlignment="1">
      <alignment horizontal="left" wrapText="1" indent="2"/>
    </xf>
    <xf numFmtId="0" fontId="42" fillId="24" borderId="15" xfId="43" applyFont="1" applyFill="1" applyBorder="1" applyAlignment="1">
      <alignment horizontal="center"/>
    </xf>
    <xf numFmtId="2" fontId="42" fillId="24" borderId="42" xfId="43" applyNumberFormat="1" applyFont="1" applyFill="1" applyBorder="1" applyAlignment="1">
      <alignment horizontal="center"/>
    </xf>
    <xf numFmtId="2" fontId="42" fillId="24" borderId="14" xfId="48" applyNumberFormat="1" applyFont="1" applyFill="1" applyBorder="1" applyAlignment="1">
      <alignment horizontal="center"/>
    </xf>
    <xf numFmtId="2" fontId="42" fillId="24" borderId="15" xfId="39" applyNumberFormat="1" applyFont="1" applyFill="1" applyBorder="1" applyAlignment="1">
      <alignment horizontal="center"/>
    </xf>
    <xf numFmtId="2" fontId="42" fillId="24" borderId="15" xfId="43" applyNumberFormat="1" applyFont="1" applyFill="1" applyBorder="1" applyAlignment="1">
      <alignment horizontal="center"/>
    </xf>
    <xf numFmtId="2" fontId="42" fillId="24" borderId="10" xfId="39" applyNumberFormat="1" applyFont="1" applyFill="1" applyBorder="1" applyAlignment="1">
      <alignment horizontal="center"/>
    </xf>
    <xf numFmtId="2" fontId="42" fillId="24" borderId="35" xfId="39" applyNumberFormat="1" applyFont="1" applyFill="1" applyBorder="1" applyAlignment="1">
      <alignment horizontal="center"/>
    </xf>
    <xf numFmtId="49" fontId="42" fillId="24" borderId="15" xfId="43" applyNumberFormat="1" applyFont="1" applyFill="1" applyBorder="1" applyAlignment="1">
      <alignment horizontal="center" vertical="top"/>
    </xf>
    <xf numFmtId="2" fontId="42" fillId="24" borderId="14" xfId="43" applyNumberFormat="1" applyFont="1" applyFill="1" applyBorder="1" applyAlignment="1">
      <alignment horizontal="center"/>
    </xf>
    <xf numFmtId="2" fontId="42" fillId="24" borderId="10" xfId="43" applyNumberFormat="1" applyFont="1" applyFill="1" applyBorder="1" applyAlignment="1">
      <alignment horizontal="center"/>
    </xf>
    <xf numFmtId="2" fontId="42" fillId="24" borderId="35" xfId="43" applyNumberFormat="1" applyFont="1" applyFill="1" applyBorder="1" applyAlignment="1">
      <alignment horizontal="center"/>
    </xf>
    <xf numFmtId="49" fontId="42" fillId="0" borderId="15" xfId="43" applyNumberFormat="1" applyFont="1" applyFill="1" applyBorder="1" applyAlignment="1">
      <alignment horizontal="center" vertical="top"/>
    </xf>
    <xf numFmtId="0" fontId="42" fillId="0" borderId="15" xfId="43" applyFont="1" applyFill="1" applyBorder="1" applyAlignment="1">
      <alignment horizontal="left" wrapText="1" indent="2"/>
    </xf>
    <xf numFmtId="0" fontId="42" fillId="0" borderId="15" xfId="43" applyFont="1" applyFill="1" applyBorder="1" applyAlignment="1">
      <alignment horizontal="center"/>
    </xf>
    <xf numFmtId="2" fontId="42" fillId="0" borderId="42" xfId="43" applyNumberFormat="1" applyFont="1" applyFill="1" applyBorder="1" applyAlignment="1">
      <alignment horizontal="center"/>
    </xf>
    <xf numFmtId="2" fontId="42" fillId="0" borderId="14" xfId="43" applyNumberFormat="1" applyFont="1" applyFill="1" applyBorder="1" applyAlignment="1">
      <alignment horizontal="center"/>
    </xf>
    <xf numFmtId="2" fontId="42" fillId="0" borderId="15" xfId="43" applyNumberFormat="1" applyFont="1" applyFill="1" applyBorder="1" applyAlignment="1">
      <alignment horizontal="center"/>
    </xf>
    <xf numFmtId="2" fontId="42" fillId="0" borderId="10" xfId="43" applyNumberFormat="1" applyFont="1" applyFill="1" applyBorder="1" applyAlignment="1">
      <alignment horizontal="center"/>
    </xf>
    <xf numFmtId="2" fontId="42" fillId="0" borderId="35" xfId="43" applyNumberFormat="1" applyFont="1" applyFill="1" applyBorder="1" applyAlignment="1">
      <alignment horizontal="center"/>
    </xf>
    <xf numFmtId="0" fontId="42" fillId="24" borderId="15" xfId="43" applyFont="1" applyFill="1" applyBorder="1" applyAlignment="1">
      <alignment horizontal="left" indent="2"/>
    </xf>
    <xf numFmtId="2" fontId="40" fillId="0" borderId="26" xfId="38" applyNumberFormat="1" applyFont="1" applyFill="1" applyBorder="1" applyAlignment="1">
      <alignment horizontal="center"/>
    </xf>
    <xf numFmtId="2" fontId="40" fillId="0" borderId="17" xfId="38" applyNumberFormat="1" applyFont="1" applyFill="1" applyBorder="1" applyAlignment="1">
      <alignment horizontal="center"/>
    </xf>
    <xf numFmtId="2" fontId="40" fillId="0" borderId="11" xfId="38" applyNumberFormat="1" applyFont="1" applyFill="1" applyBorder="1" applyAlignment="1">
      <alignment horizontal="center"/>
    </xf>
    <xf numFmtId="0" fontId="40" fillId="0" borderId="27" xfId="38" applyFont="1" applyFill="1" applyBorder="1"/>
    <xf numFmtId="0" fontId="40" fillId="0" borderId="19" xfId="38" applyFont="1" applyFill="1" applyBorder="1"/>
    <xf numFmtId="2" fontId="40" fillId="0" borderId="19" xfId="38" applyNumberFormat="1" applyFont="1" applyFill="1" applyBorder="1"/>
    <xf numFmtId="2" fontId="40" fillId="0" borderId="12" xfId="38" applyNumberFormat="1" applyFont="1" applyFill="1" applyBorder="1" applyAlignment="1">
      <alignment horizontal="center"/>
    </xf>
    <xf numFmtId="2" fontId="40" fillId="0" borderId="28" xfId="38" applyNumberFormat="1" applyFont="1" applyFill="1" applyBorder="1" applyAlignment="1">
      <alignment horizontal="center"/>
    </xf>
    <xf numFmtId="2" fontId="40" fillId="0" borderId="21" xfId="38" applyNumberFormat="1" applyFont="1" applyFill="1" applyBorder="1" applyAlignment="1">
      <alignment horizontal="center"/>
    </xf>
    <xf numFmtId="2" fontId="40" fillId="0" borderId="13" xfId="38" applyNumberFormat="1" applyFont="1" applyFill="1" applyBorder="1" applyAlignment="1">
      <alignment horizontal="center"/>
    </xf>
    <xf numFmtId="0" fontId="40" fillId="0" borderId="0" xfId="38" applyFont="1" applyFill="1" applyBorder="1" applyAlignment="1">
      <alignment horizontal="right"/>
    </xf>
    <xf numFmtId="2" fontId="40" fillId="0" borderId="0" xfId="38" applyNumberFormat="1" applyFont="1" applyFill="1" applyBorder="1" applyAlignment="1">
      <alignment horizontal="center"/>
    </xf>
    <xf numFmtId="49" fontId="40" fillId="0" borderId="0" xfId="38" applyNumberFormat="1" applyFont="1" applyFill="1"/>
    <xf numFmtId="0" fontId="43" fillId="0" borderId="0" xfId="0" applyFont="1" applyFill="1" applyBorder="1" applyAlignment="1"/>
    <xf numFmtId="0" fontId="40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right"/>
    </xf>
    <xf numFmtId="0" fontId="40" fillId="0" borderId="0" xfId="38" applyFont="1" applyFill="1" applyAlignment="1">
      <alignment horizontal="center"/>
    </xf>
    <xf numFmtId="0" fontId="40" fillId="26" borderId="0" xfId="38" applyFont="1" applyFill="1"/>
    <xf numFmtId="0" fontId="6" fillId="26" borderId="0" xfId="38" applyFont="1" applyFill="1"/>
    <xf numFmtId="0" fontId="40" fillId="0" borderId="15" xfId="47" applyFont="1" applyFill="1" applyBorder="1" applyAlignment="1">
      <alignment wrapText="1"/>
    </xf>
    <xf numFmtId="2" fontId="40" fillId="0" borderId="14" xfId="48" applyNumberFormat="1" applyFont="1" applyFill="1" applyBorder="1" applyAlignment="1">
      <alignment horizontal="center"/>
    </xf>
    <xf numFmtId="2" fontId="40" fillId="0" borderId="10" xfId="39" applyNumberFormat="1" applyFont="1" applyFill="1" applyBorder="1" applyAlignment="1">
      <alignment horizontal="center"/>
    </xf>
    <xf numFmtId="2" fontId="40" fillId="0" borderId="35" xfId="39" applyNumberFormat="1" applyFont="1" applyFill="1" applyBorder="1" applyAlignment="1">
      <alignment horizontal="center"/>
    </xf>
    <xf numFmtId="2" fontId="42" fillId="0" borderId="14" xfId="48" applyNumberFormat="1" applyFont="1" applyFill="1" applyBorder="1" applyAlignment="1">
      <alignment horizontal="center"/>
    </xf>
    <xf numFmtId="2" fontId="42" fillId="0" borderId="10" xfId="39" applyNumberFormat="1" applyFont="1" applyFill="1" applyBorder="1" applyAlignment="1">
      <alignment horizontal="center"/>
    </xf>
    <xf numFmtId="2" fontId="42" fillId="0" borderId="35" xfId="3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22" xfId="38" applyFont="1" applyFill="1" applyBorder="1" applyAlignment="1">
      <alignment horizontal="center" vertical="center" textRotation="90" wrapText="1"/>
    </xf>
    <xf numFmtId="2" fontId="7" fillId="27" borderId="49" xfId="43" applyNumberFormat="1" applyFont="1" applyFill="1" applyBorder="1" applyAlignment="1">
      <alignment horizontal="left" vertical="center"/>
    </xf>
    <xf numFmtId="2" fontId="7" fillId="27" borderId="50" xfId="43" applyNumberFormat="1" applyFont="1" applyFill="1" applyBorder="1" applyAlignment="1">
      <alignment horizontal="left" vertical="center"/>
    </xf>
    <xf numFmtId="2" fontId="7" fillId="27" borderId="51" xfId="43" applyNumberFormat="1" applyFont="1" applyFill="1" applyBorder="1" applyAlignment="1">
      <alignment horizontal="left" vertical="center"/>
    </xf>
    <xf numFmtId="2" fontId="6" fillId="27" borderId="50" xfId="43" applyNumberFormat="1" applyFont="1" applyFill="1" applyBorder="1" applyAlignment="1">
      <alignment horizontal="center"/>
    </xf>
    <xf numFmtId="2" fontId="6" fillId="27" borderId="51" xfId="43" applyNumberFormat="1" applyFont="1" applyFill="1" applyBorder="1" applyAlignment="1">
      <alignment horizontal="center"/>
    </xf>
    <xf numFmtId="0" fontId="40" fillId="0" borderId="15" xfId="39" applyFont="1" applyFill="1" applyBorder="1" applyAlignment="1">
      <alignment horizontal="center"/>
    </xf>
    <xf numFmtId="49" fontId="6" fillId="0" borderId="14" xfId="43" applyNumberFormat="1" applyFont="1" applyFill="1" applyBorder="1" applyAlignment="1">
      <alignment horizontal="center" vertical="top"/>
    </xf>
    <xf numFmtId="49" fontId="6" fillId="0" borderId="15" xfId="43" applyNumberFormat="1" applyFont="1" applyFill="1" applyBorder="1" applyAlignment="1">
      <alignment horizontal="center" vertical="top"/>
    </xf>
    <xf numFmtId="0" fontId="6" fillId="0" borderId="15" xfId="43" applyFont="1" applyFill="1" applyBorder="1" applyAlignment="1"/>
    <xf numFmtId="0" fontId="6" fillId="0" borderId="15" xfId="43" applyFont="1" applyFill="1" applyBorder="1" applyAlignment="1">
      <alignment horizontal="center"/>
    </xf>
    <xf numFmtId="2" fontId="6" fillId="0" borderId="42" xfId="43" applyNumberFormat="1" applyFont="1" applyFill="1" applyBorder="1" applyAlignment="1">
      <alignment horizontal="center"/>
    </xf>
    <xf numFmtId="2" fontId="6" fillId="0" borderId="14" xfId="43" applyNumberFormat="1" applyFont="1" applyFill="1" applyBorder="1" applyAlignment="1">
      <alignment horizontal="center"/>
    </xf>
    <xf numFmtId="2" fontId="6" fillId="0" borderId="15" xfId="39" applyNumberFormat="1" applyFont="1" applyFill="1" applyBorder="1" applyAlignment="1">
      <alignment horizontal="center"/>
    </xf>
    <xf numFmtId="2" fontId="6" fillId="0" borderId="15" xfId="43" applyNumberFormat="1" applyFont="1" applyFill="1" applyBorder="1" applyAlignment="1">
      <alignment horizontal="center"/>
    </xf>
    <xf numFmtId="2" fontId="6" fillId="0" borderId="10" xfId="43" applyNumberFormat="1" applyFont="1" applyFill="1" applyBorder="1" applyAlignment="1">
      <alignment horizontal="center"/>
    </xf>
    <xf numFmtId="2" fontId="6" fillId="0" borderId="35" xfId="43" applyNumberFormat="1" applyFont="1" applyFill="1" applyBorder="1" applyAlignment="1">
      <alignment horizontal="center"/>
    </xf>
    <xf numFmtId="49" fontId="41" fillId="0" borderId="14" xfId="43" applyNumberFormat="1" applyFont="1" applyFill="1" applyBorder="1" applyAlignment="1">
      <alignment horizontal="center" vertical="top"/>
    </xf>
    <xf numFmtId="0" fontId="41" fillId="0" borderId="15" xfId="43" applyFont="1" applyFill="1" applyBorder="1" applyAlignment="1">
      <alignment horizontal="center"/>
    </xf>
    <xf numFmtId="0" fontId="41" fillId="0" borderId="15" xfId="43" applyFont="1" applyFill="1" applyBorder="1" applyAlignment="1">
      <alignment horizontal="left" wrapText="1" indent="2"/>
    </xf>
    <xf numFmtId="2" fontId="41" fillId="0" borderId="42" xfId="43" applyNumberFormat="1" applyFont="1" applyFill="1" applyBorder="1" applyAlignment="1">
      <alignment horizontal="center"/>
    </xf>
    <xf numFmtId="2" fontId="41" fillId="0" borderId="14" xfId="43" applyNumberFormat="1" applyFont="1" applyFill="1" applyBorder="1" applyAlignment="1">
      <alignment horizontal="center"/>
    </xf>
    <xf numFmtId="2" fontId="41" fillId="0" borderId="15" xfId="43" applyNumberFormat="1" applyFont="1" applyFill="1" applyBorder="1" applyAlignment="1">
      <alignment horizontal="center"/>
    </xf>
    <xf numFmtId="2" fontId="41" fillId="0" borderId="10" xfId="43" applyNumberFormat="1" applyFont="1" applyFill="1" applyBorder="1" applyAlignment="1">
      <alignment horizontal="center"/>
    </xf>
    <xf numFmtId="2" fontId="41" fillId="0" borderId="35" xfId="43" applyNumberFormat="1" applyFont="1" applyFill="1" applyBorder="1" applyAlignment="1">
      <alignment horizontal="center"/>
    </xf>
    <xf numFmtId="0" fontId="41" fillId="0" borderId="15" xfId="43" applyFont="1" applyFill="1" applyBorder="1" applyAlignment="1">
      <alignment horizontal="center" vertical="top"/>
    </xf>
    <xf numFmtId="0" fontId="41" fillId="0" borderId="15" xfId="43" applyFont="1" applyFill="1" applyBorder="1" applyAlignment="1">
      <alignment horizontal="left" indent="2"/>
    </xf>
    <xf numFmtId="0" fontId="6" fillId="24" borderId="15" xfId="39" applyFont="1" applyFill="1" applyBorder="1" applyAlignment="1">
      <alignment horizontal="center"/>
    </xf>
    <xf numFmtId="0" fontId="6" fillId="24" borderId="15" xfId="43" applyFont="1" applyFill="1" applyBorder="1" applyAlignment="1">
      <alignment horizontal="center"/>
    </xf>
    <xf numFmtId="2" fontId="6" fillId="24" borderId="14" xfId="43" applyNumberFormat="1" applyFont="1" applyFill="1" applyBorder="1" applyAlignment="1">
      <alignment horizontal="center"/>
    </xf>
    <xf numFmtId="2" fontId="6" fillId="24" borderId="15" xfId="43" applyNumberFormat="1" applyFont="1" applyFill="1" applyBorder="1" applyAlignment="1">
      <alignment horizontal="center"/>
    </xf>
    <xf numFmtId="2" fontId="6" fillId="24" borderId="10" xfId="43" applyNumberFormat="1" applyFont="1" applyFill="1" applyBorder="1" applyAlignment="1">
      <alignment horizontal="center"/>
    </xf>
    <xf numFmtId="2" fontId="6" fillId="24" borderId="35" xfId="43" applyNumberFormat="1" applyFont="1" applyFill="1" applyBorder="1" applyAlignment="1">
      <alignment horizontal="center"/>
    </xf>
    <xf numFmtId="0" fontId="6" fillId="24" borderId="15" xfId="43" applyFont="1" applyFill="1" applyBorder="1" applyAlignment="1">
      <alignment horizontal="justify"/>
    </xf>
    <xf numFmtId="2" fontId="6" fillId="24" borderId="42" xfId="47" applyNumberFormat="1" applyFont="1" applyFill="1" applyBorder="1" applyAlignment="1">
      <alignment horizontal="center"/>
    </xf>
    <xf numFmtId="2" fontId="6" fillId="24" borderId="15" xfId="39" applyNumberFormat="1" applyFont="1" applyFill="1" applyBorder="1" applyAlignment="1">
      <alignment horizontal="center"/>
    </xf>
    <xf numFmtId="49" fontId="44" fillId="0" borderId="14" xfId="43" applyNumberFormat="1" applyFont="1" applyFill="1" applyBorder="1" applyAlignment="1">
      <alignment horizontal="center" vertical="top"/>
    </xf>
    <xf numFmtId="49" fontId="44" fillId="24" borderId="15" xfId="43" applyNumberFormat="1" applyFont="1" applyFill="1" applyBorder="1" applyAlignment="1">
      <alignment horizontal="center" vertical="top"/>
    </xf>
    <xf numFmtId="0" fontId="44" fillId="24" borderId="15" xfId="43" applyFont="1" applyFill="1" applyBorder="1" applyAlignment="1">
      <alignment horizontal="left" wrapText="1" indent="2"/>
    </xf>
    <xf numFmtId="0" fontId="44" fillId="24" borderId="15" xfId="43" applyFont="1" applyFill="1" applyBorder="1" applyAlignment="1">
      <alignment horizontal="center"/>
    </xf>
    <xf numFmtId="2" fontId="44" fillId="24" borderId="42" xfId="43" applyNumberFormat="1" applyFont="1" applyFill="1" applyBorder="1" applyAlignment="1">
      <alignment horizontal="center"/>
    </xf>
    <xf numFmtId="2" fontId="44" fillId="24" borderId="14" xfId="43" applyNumberFormat="1" applyFont="1" applyFill="1" applyBorder="1" applyAlignment="1">
      <alignment horizontal="center"/>
    </xf>
    <xf numFmtId="2" fontId="44" fillId="24" borderId="15" xfId="43" applyNumberFormat="1" applyFont="1" applyFill="1" applyBorder="1" applyAlignment="1">
      <alignment horizontal="center"/>
    </xf>
    <xf numFmtId="2" fontId="44" fillId="24" borderId="10" xfId="43" applyNumberFormat="1" applyFont="1" applyFill="1" applyBorder="1" applyAlignment="1">
      <alignment horizontal="center"/>
    </xf>
    <xf numFmtId="2" fontId="44" fillId="24" borderId="35" xfId="43" applyNumberFormat="1" applyFont="1" applyFill="1" applyBorder="1" applyAlignment="1">
      <alignment horizontal="center"/>
    </xf>
    <xf numFmtId="0" fontId="44" fillId="24" borderId="15" xfId="43" applyFont="1" applyFill="1" applyBorder="1" applyAlignment="1">
      <alignment horizontal="left" indent="2"/>
    </xf>
    <xf numFmtId="0" fontId="6" fillId="0" borderId="15" xfId="43" applyFont="1" applyFill="1" applyBorder="1" applyAlignment="1">
      <alignment wrapText="1"/>
    </xf>
    <xf numFmtId="0" fontId="42" fillId="24" borderId="15" xfId="43" applyFont="1" applyFill="1" applyBorder="1" applyAlignment="1">
      <alignment horizontal="left" vertical="center" wrapText="1" indent="2"/>
    </xf>
    <xf numFmtId="0" fontId="42" fillId="0" borderId="15" xfId="43" applyFont="1" applyFill="1" applyBorder="1" applyAlignment="1">
      <alignment horizontal="left" vertical="center" wrapText="1" indent="2"/>
    </xf>
    <xf numFmtId="0" fontId="42" fillId="0" borderId="15" xfId="0" applyFont="1" applyFill="1" applyBorder="1" applyAlignment="1">
      <alignment horizontal="left" vertical="center" wrapText="1" indent="2"/>
    </xf>
    <xf numFmtId="49" fontId="40" fillId="0" borderId="15" xfId="43" applyNumberFormat="1" applyFont="1" applyFill="1" applyBorder="1" applyAlignment="1">
      <alignment horizontal="center" vertical="top"/>
    </xf>
    <xf numFmtId="0" fontId="40" fillId="0" borderId="15" xfId="47" applyFont="1" applyFill="1" applyBorder="1" applyAlignment="1">
      <alignment vertical="center" wrapText="1"/>
    </xf>
    <xf numFmtId="0" fontId="6" fillId="0" borderId="15" xfId="39" applyFont="1" applyFill="1" applyBorder="1" applyAlignment="1">
      <alignment horizontal="center"/>
    </xf>
    <xf numFmtId="2" fontId="6" fillId="0" borderId="14" xfId="48" applyNumberFormat="1" applyFont="1" applyFill="1" applyBorder="1" applyAlignment="1">
      <alignment horizontal="center"/>
    </xf>
    <xf numFmtId="2" fontId="6" fillId="0" borderId="10" xfId="39" applyNumberFormat="1" applyFont="1" applyFill="1" applyBorder="1" applyAlignment="1">
      <alignment horizontal="center"/>
    </xf>
    <xf numFmtId="2" fontId="6" fillId="0" borderId="35" xfId="39" applyNumberFormat="1" applyFont="1" applyFill="1" applyBorder="1" applyAlignment="1">
      <alignment horizontal="center"/>
    </xf>
    <xf numFmtId="0" fontId="6" fillId="0" borderId="15" xfId="47" applyFont="1" applyFill="1" applyBorder="1" applyAlignment="1">
      <alignment wrapText="1"/>
    </xf>
    <xf numFmtId="0" fontId="44" fillId="0" borderId="15" xfId="39" applyFont="1" applyFill="1" applyBorder="1"/>
    <xf numFmtId="0" fontId="44" fillId="0" borderId="15" xfId="43" applyFont="1" applyFill="1" applyBorder="1" applyAlignment="1">
      <alignment horizontal="left" wrapText="1" indent="2"/>
    </xf>
    <xf numFmtId="0" fontId="44" fillId="0" borderId="15" xfId="43" applyFont="1" applyFill="1" applyBorder="1" applyAlignment="1">
      <alignment horizontal="center"/>
    </xf>
    <xf numFmtId="2" fontId="44" fillId="0" borderId="42" xfId="43" applyNumberFormat="1" applyFont="1" applyFill="1" applyBorder="1" applyAlignment="1">
      <alignment horizontal="center"/>
    </xf>
    <xf numFmtId="2" fontId="44" fillId="0" borderId="14" xfId="48" applyNumberFormat="1" applyFont="1" applyFill="1" applyBorder="1" applyAlignment="1">
      <alignment horizontal="center"/>
    </xf>
    <xf numFmtId="2" fontId="44" fillId="0" borderId="15" xfId="39" applyNumberFormat="1" applyFont="1" applyFill="1" applyBorder="1" applyAlignment="1">
      <alignment horizontal="center"/>
    </xf>
    <xf numFmtId="2" fontId="44" fillId="0" borderId="15" xfId="43" applyNumberFormat="1" applyFont="1" applyFill="1" applyBorder="1" applyAlignment="1">
      <alignment horizontal="center"/>
    </xf>
    <xf numFmtId="2" fontId="44" fillId="0" borderId="10" xfId="39" applyNumberFormat="1" applyFont="1" applyFill="1" applyBorder="1" applyAlignment="1">
      <alignment horizontal="center"/>
    </xf>
    <xf numFmtId="2" fontId="44" fillId="0" borderId="35" xfId="39" applyNumberFormat="1" applyFont="1" applyFill="1" applyBorder="1" applyAlignment="1">
      <alignment horizontal="center"/>
    </xf>
    <xf numFmtId="2" fontId="6" fillId="24" borderId="42" xfId="43" applyNumberFormat="1" applyFont="1" applyFill="1" applyBorder="1" applyAlignment="1">
      <alignment horizontal="center"/>
    </xf>
    <xf numFmtId="2" fontId="6" fillId="24" borderId="14" xfId="48" applyNumberFormat="1" applyFont="1" applyFill="1" applyBorder="1" applyAlignment="1">
      <alignment horizontal="center"/>
    </xf>
    <xf numFmtId="2" fontId="6" fillId="24" borderId="10" xfId="39" applyNumberFormat="1" applyFont="1" applyFill="1" applyBorder="1" applyAlignment="1">
      <alignment horizontal="center"/>
    </xf>
    <xf numFmtId="2" fontId="6" fillId="24" borderId="35" xfId="39" applyNumberFormat="1" applyFont="1" applyFill="1" applyBorder="1" applyAlignment="1">
      <alignment horizontal="center"/>
    </xf>
    <xf numFmtId="0" fontId="6" fillId="0" borderId="14" xfId="39" applyFont="1" applyFill="1" applyBorder="1" applyAlignment="1">
      <alignment horizontal="center" vertical="top"/>
    </xf>
    <xf numFmtId="17" fontId="6" fillId="0" borderId="15" xfId="39" applyNumberFormat="1" applyFont="1" applyFill="1" applyBorder="1" applyAlignment="1">
      <alignment horizontal="center" vertical="top"/>
    </xf>
    <xf numFmtId="0" fontId="6" fillId="24" borderId="15" xfId="47" applyFont="1" applyFill="1" applyBorder="1" applyAlignment="1">
      <alignment wrapText="1"/>
    </xf>
    <xf numFmtId="2" fontId="44" fillId="24" borderId="14" xfId="48" applyNumberFormat="1" applyFont="1" applyFill="1" applyBorder="1" applyAlignment="1">
      <alignment horizontal="center"/>
    </xf>
    <xf numFmtId="2" fontId="44" fillId="24" borderId="15" xfId="39" applyNumberFormat="1" applyFont="1" applyFill="1" applyBorder="1" applyAlignment="1">
      <alignment horizontal="center"/>
    </xf>
    <xf numFmtId="2" fontId="44" fillId="24" borderId="10" xfId="39" applyNumberFormat="1" applyFont="1" applyFill="1" applyBorder="1" applyAlignment="1">
      <alignment horizontal="center"/>
    </xf>
    <xf numFmtId="2" fontId="44" fillId="24" borderId="35" xfId="39" applyNumberFormat="1" applyFont="1" applyFill="1" applyBorder="1" applyAlignment="1">
      <alignment horizontal="center"/>
    </xf>
    <xf numFmtId="0" fontId="44" fillId="0" borderId="0" xfId="38" applyFont="1" applyFill="1"/>
    <xf numFmtId="0" fontId="44" fillId="26" borderId="0" xfId="38" applyFont="1" applyFill="1"/>
    <xf numFmtId="0" fontId="44" fillId="0" borderId="14" xfId="39" applyFont="1" applyFill="1" applyBorder="1" applyAlignment="1">
      <alignment horizontal="center"/>
    </xf>
    <xf numFmtId="2" fontId="6" fillId="0" borderId="26" xfId="38" applyNumberFormat="1" applyFont="1" applyFill="1" applyBorder="1" applyAlignment="1">
      <alignment horizontal="center"/>
    </xf>
    <xf numFmtId="2" fontId="6" fillId="0" borderId="17" xfId="38" applyNumberFormat="1" applyFont="1" applyFill="1" applyBorder="1" applyAlignment="1">
      <alignment horizontal="center"/>
    </xf>
    <xf numFmtId="2" fontId="6" fillId="0" borderId="11" xfId="38" applyNumberFormat="1" applyFont="1" applyFill="1" applyBorder="1" applyAlignment="1">
      <alignment horizontal="center"/>
    </xf>
    <xf numFmtId="0" fontId="6" fillId="0" borderId="27" xfId="38" applyFont="1" applyFill="1" applyBorder="1"/>
    <xf numFmtId="0" fontId="6" fillId="0" borderId="19" xfId="38" applyFont="1" applyFill="1" applyBorder="1"/>
    <xf numFmtId="2" fontId="6" fillId="0" borderId="19" xfId="38" applyNumberFormat="1" applyFont="1" applyFill="1" applyBorder="1"/>
    <xf numFmtId="2" fontId="6" fillId="0" borderId="12" xfId="38" applyNumberFormat="1" applyFont="1" applyFill="1" applyBorder="1" applyAlignment="1">
      <alignment horizontal="center"/>
    </xf>
    <xf numFmtId="2" fontId="6" fillId="0" borderId="28" xfId="38" applyNumberFormat="1" applyFont="1" applyFill="1" applyBorder="1" applyAlignment="1">
      <alignment horizontal="center"/>
    </xf>
    <xf numFmtId="2" fontId="6" fillId="0" borderId="21" xfId="38" applyNumberFormat="1" applyFont="1" applyFill="1" applyBorder="1" applyAlignment="1">
      <alignment horizontal="center"/>
    </xf>
    <xf numFmtId="2" fontId="6" fillId="0" borderId="13" xfId="38" applyNumberFormat="1" applyFont="1" applyFill="1" applyBorder="1" applyAlignment="1">
      <alignment horizontal="center"/>
    </xf>
    <xf numFmtId="0" fontId="6" fillId="0" borderId="0" xfId="38" applyFont="1" applyFill="1" applyBorder="1" applyAlignment="1">
      <alignment horizontal="right"/>
    </xf>
    <xf numFmtId="2" fontId="6" fillId="0" borderId="0" xfId="38" applyNumberFormat="1" applyFont="1" applyFill="1" applyBorder="1" applyAlignment="1">
      <alignment horizontal="center"/>
    </xf>
    <xf numFmtId="0" fontId="6" fillId="0" borderId="0" xfId="38" applyFont="1" applyFill="1" applyAlignment="1">
      <alignment horizontal="center"/>
    </xf>
    <xf numFmtId="49" fontId="40" fillId="0" borderId="15" xfId="0" applyNumberFormat="1" applyFont="1" applyFill="1" applyBorder="1" applyAlignment="1">
      <alignment horizontal="center" vertical="top"/>
    </xf>
    <xf numFmtId="49" fontId="6" fillId="24" borderId="14" xfId="43" applyNumberFormat="1" applyFont="1" applyFill="1" applyBorder="1" applyAlignment="1">
      <alignment horizontal="center" vertical="top"/>
    </xf>
    <xf numFmtId="49" fontId="6" fillId="24" borderId="15" xfId="43" applyNumberFormat="1" applyFont="1" applyFill="1" applyBorder="1" applyAlignment="1">
      <alignment horizontal="center" vertical="top"/>
    </xf>
    <xf numFmtId="0" fontId="41" fillId="24" borderId="15" xfId="43" applyFont="1" applyFill="1" applyBorder="1" applyAlignment="1">
      <alignment horizontal="center"/>
    </xf>
    <xf numFmtId="2" fontId="41" fillId="24" borderId="14" xfId="43" applyNumberFormat="1" applyFont="1" applyFill="1" applyBorder="1" applyAlignment="1">
      <alignment horizontal="center"/>
    </xf>
    <xf numFmtId="2" fontId="41" fillId="24" borderId="15" xfId="43" applyNumberFormat="1" applyFont="1" applyFill="1" applyBorder="1" applyAlignment="1">
      <alignment horizontal="center"/>
    </xf>
    <xf numFmtId="2" fontId="41" fillId="24" borderId="10" xfId="43" applyNumberFormat="1" applyFont="1" applyFill="1" applyBorder="1" applyAlignment="1">
      <alignment horizontal="center"/>
    </xf>
    <xf numFmtId="2" fontId="41" fillId="24" borderId="35" xfId="43" applyNumberFormat="1" applyFont="1" applyFill="1" applyBorder="1" applyAlignment="1">
      <alignment horizontal="center"/>
    </xf>
    <xf numFmtId="0" fontId="41" fillId="24" borderId="15" xfId="43" applyFont="1" applyFill="1" applyBorder="1" applyAlignment="1">
      <alignment horizontal="left" indent="2"/>
    </xf>
    <xf numFmtId="2" fontId="41" fillId="24" borderId="42" xfId="43" applyNumberFormat="1" applyFont="1" applyFill="1" applyBorder="1" applyAlignment="1">
      <alignment horizontal="center"/>
    </xf>
    <xf numFmtId="49" fontId="41" fillId="24" borderId="15" xfId="43" applyNumberFormat="1" applyFont="1" applyFill="1" applyBorder="1" applyAlignment="1">
      <alignment horizontal="left" indent="2"/>
    </xf>
    <xf numFmtId="0" fontId="41" fillId="24" borderId="15" xfId="43" applyFont="1" applyFill="1" applyBorder="1" applyAlignment="1">
      <alignment horizontal="left" vertical="top" indent="2"/>
    </xf>
    <xf numFmtId="0" fontId="41" fillId="24" borderId="15" xfId="43" applyFont="1" applyFill="1" applyBorder="1" applyAlignment="1">
      <alignment horizontal="left" vertical="justify" indent="2"/>
    </xf>
    <xf numFmtId="2" fontId="41" fillId="24" borderId="42" xfId="5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top"/>
    </xf>
    <xf numFmtId="0" fontId="6" fillId="24" borderId="15" xfId="0" applyFont="1" applyFill="1" applyBorder="1" applyAlignment="1">
      <alignment horizontal="center" vertical="justify"/>
    </xf>
    <xf numFmtId="2" fontId="6" fillId="24" borderId="42" xfId="0" applyNumberFormat="1" applyFont="1" applyFill="1" applyBorder="1" applyAlignment="1">
      <alignment horizontal="center"/>
    </xf>
    <xf numFmtId="2" fontId="6" fillId="24" borderId="14" xfId="0" applyNumberFormat="1" applyFont="1" applyFill="1" applyBorder="1" applyAlignment="1">
      <alignment horizontal="center"/>
    </xf>
    <xf numFmtId="2" fontId="6" fillId="24" borderId="15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6" fillId="24" borderId="35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5" xfId="0" applyFont="1" applyFill="1" applyBorder="1" applyAlignment="1">
      <alignment vertical="justify"/>
    </xf>
    <xf numFmtId="0" fontId="6" fillId="0" borderId="14" xfId="39" applyFont="1" applyFill="1" applyBorder="1" applyAlignment="1">
      <alignment horizontal="center"/>
    </xf>
    <xf numFmtId="0" fontId="6" fillId="0" borderId="15" xfId="39" applyFont="1" applyFill="1" applyBorder="1"/>
    <xf numFmtId="0" fontId="46" fillId="0" borderId="15" xfId="43" applyFont="1" applyFill="1" applyBorder="1" applyAlignment="1">
      <alignment horizontal="left" wrapText="1" indent="2"/>
    </xf>
    <xf numFmtId="0" fontId="46" fillId="0" borderId="15" xfId="43" applyFont="1" applyFill="1" applyBorder="1" applyAlignment="1">
      <alignment horizontal="center"/>
    </xf>
    <xf numFmtId="2" fontId="46" fillId="0" borderId="42" xfId="43" applyNumberFormat="1" applyFont="1" applyFill="1" applyBorder="1" applyAlignment="1">
      <alignment horizontal="center"/>
    </xf>
    <xf numFmtId="2" fontId="46" fillId="0" borderId="14" xfId="48" applyNumberFormat="1" applyFont="1" applyFill="1" applyBorder="1" applyAlignment="1">
      <alignment horizontal="center"/>
    </xf>
    <xf numFmtId="2" fontId="46" fillId="0" borderId="15" xfId="39" applyNumberFormat="1" applyFont="1" applyFill="1" applyBorder="1" applyAlignment="1">
      <alignment horizontal="center"/>
    </xf>
    <xf numFmtId="2" fontId="46" fillId="0" borderId="15" xfId="43" applyNumberFormat="1" applyFont="1" applyFill="1" applyBorder="1" applyAlignment="1">
      <alignment horizontal="center"/>
    </xf>
    <xf numFmtId="2" fontId="46" fillId="0" borderId="10" xfId="39" applyNumberFormat="1" applyFont="1" applyFill="1" applyBorder="1" applyAlignment="1">
      <alignment horizontal="center"/>
    </xf>
    <xf numFmtId="2" fontId="46" fillId="0" borderId="35" xfId="39" applyNumberFormat="1" applyFont="1" applyFill="1" applyBorder="1" applyAlignment="1">
      <alignment horizontal="center"/>
    </xf>
    <xf numFmtId="0" fontId="6" fillId="0" borderId="15" xfId="43" applyFont="1" applyFill="1" applyBorder="1" applyAlignment="1">
      <alignment horizontal="center" vertical="top"/>
    </xf>
    <xf numFmtId="0" fontId="6" fillId="0" borderId="15" xfId="0" applyFont="1" applyFill="1" applyBorder="1" applyAlignment="1" applyProtection="1">
      <alignment horizontal="left" vertical="center" wrapText="1"/>
    </xf>
    <xf numFmtId="2" fontId="6" fillId="0" borderId="42" xfId="47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justify"/>
    </xf>
    <xf numFmtId="0" fontId="6" fillId="0" borderId="15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/>
    </xf>
    <xf numFmtId="0" fontId="6" fillId="24" borderId="15" xfId="0" applyFont="1" applyFill="1" applyBorder="1"/>
    <xf numFmtId="2" fontId="6" fillId="24" borderId="42" xfId="0" applyNumberFormat="1" applyFont="1" applyFill="1" applyBorder="1" applyAlignment="1">
      <alignment horizontal="center" vertical="center"/>
    </xf>
    <xf numFmtId="2" fontId="6" fillId="24" borderId="14" xfId="0" applyNumberFormat="1" applyFont="1" applyFill="1" applyBorder="1" applyAlignment="1">
      <alignment horizontal="center" vertical="center"/>
    </xf>
    <xf numFmtId="2" fontId="6" fillId="24" borderId="15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2" fontId="6" fillId="24" borderId="35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2" fontId="6" fillId="24" borderId="15" xfId="39" applyNumberFormat="1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top"/>
    </xf>
    <xf numFmtId="0" fontId="46" fillId="24" borderId="15" xfId="0" applyFont="1" applyFill="1" applyBorder="1" applyAlignment="1">
      <alignment horizontal="center" vertical="top"/>
    </xf>
    <xf numFmtId="0" fontId="46" fillId="24" borderId="15" xfId="0" applyFont="1" applyFill="1" applyBorder="1" applyAlignment="1">
      <alignment horizontal="center" vertical="center"/>
    </xf>
    <xf numFmtId="2" fontId="46" fillId="24" borderId="42" xfId="0" applyNumberFormat="1" applyFont="1" applyFill="1" applyBorder="1" applyAlignment="1">
      <alignment horizontal="center" vertical="center"/>
    </xf>
    <xf numFmtId="2" fontId="46" fillId="24" borderId="14" xfId="0" applyNumberFormat="1" applyFont="1" applyFill="1" applyBorder="1" applyAlignment="1">
      <alignment horizontal="center" vertical="center"/>
    </xf>
    <xf numFmtId="2" fontId="46" fillId="24" borderId="15" xfId="0" applyNumberFormat="1" applyFont="1" applyFill="1" applyBorder="1" applyAlignment="1">
      <alignment horizontal="center" vertical="center"/>
    </xf>
    <xf numFmtId="2" fontId="46" fillId="24" borderId="15" xfId="39" applyNumberFormat="1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 horizontal="center" vertical="center"/>
    </xf>
    <xf numFmtId="2" fontId="46" fillId="24" borderId="35" xfId="0" applyNumberFormat="1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left" indent="2"/>
    </xf>
    <xf numFmtId="49" fontId="46" fillId="0" borderId="14" xfId="0" applyNumberFormat="1" applyFont="1" applyFill="1" applyBorder="1" applyAlignment="1">
      <alignment horizontal="center" vertical="top"/>
    </xf>
    <xf numFmtId="49" fontId="46" fillId="0" borderId="15" xfId="0" applyNumberFormat="1" applyFont="1" applyFill="1" applyBorder="1" applyAlignment="1">
      <alignment horizontal="center" vertical="top"/>
    </xf>
    <xf numFmtId="0" fontId="46" fillId="0" borderId="15" xfId="0" applyFont="1" applyFill="1" applyBorder="1" applyAlignment="1">
      <alignment horizontal="left" vertical="justify" indent="2"/>
    </xf>
    <xf numFmtId="0" fontId="46" fillId="0" borderId="15" xfId="0" applyFont="1" applyFill="1" applyBorder="1" applyAlignment="1">
      <alignment horizontal="center" vertical="center"/>
    </xf>
    <xf numFmtId="2" fontId="46" fillId="0" borderId="42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2" fontId="46" fillId="0" borderId="15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2" fontId="46" fillId="0" borderId="3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indent="2"/>
    </xf>
    <xf numFmtId="2" fontId="46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46" fillId="0" borderId="14" xfId="0" applyFont="1" applyFill="1" applyBorder="1"/>
    <xf numFmtId="0" fontId="46" fillId="0" borderId="15" xfId="0" applyFont="1" applyFill="1" applyBorder="1"/>
    <xf numFmtId="0" fontId="46" fillId="0" borderId="14" xfId="0" applyFont="1" applyFill="1" applyBorder="1" applyAlignment="1">
      <alignment horizontal="center" vertical="top"/>
    </xf>
    <xf numFmtId="0" fontId="46" fillId="0" borderId="15" xfId="0" applyFont="1" applyFill="1" applyBorder="1" applyAlignment="1">
      <alignment horizontal="center" vertical="top"/>
    </xf>
    <xf numFmtId="49" fontId="47" fillId="0" borderId="14" xfId="0" applyNumberFormat="1" applyFont="1" applyFill="1" applyBorder="1" applyAlignment="1">
      <alignment horizontal="center" vertical="top"/>
    </xf>
    <xf numFmtId="49" fontId="47" fillId="0" borderId="15" xfId="0" applyNumberFormat="1" applyFont="1" applyFill="1" applyBorder="1" applyAlignment="1">
      <alignment horizontal="center" vertical="top"/>
    </xf>
    <xf numFmtId="0" fontId="47" fillId="0" borderId="15" xfId="0" applyFont="1" applyFill="1" applyBorder="1" applyAlignment="1">
      <alignment horizontal="left" vertical="justify" indent="2"/>
    </xf>
    <xf numFmtId="0" fontId="47" fillId="0" borderId="15" xfId="0" applyFont="1" applyFill="1" applyBorder="1" applyAlignment="1">
      <alignment horizontal="center" vertical="center"/>
    </xf>
    <xf numFmtId="2" fontId="47" fillId="0" borderId="42" xfId="0" applyNumberFormat="1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2" fontId="47" fillId="0" borderId="15" xfId="0" applyNumberFormat="1" applyFont="1" applyFill="1" applyBorder="1" applyAlignment="1">
      <alignment horizontal="center" vertical="center"/>
    </xf>
    <xf numFmtId="2" fontId="47" fillId="0" borderId="15" xfId="39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3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indent="2"/>
    </xf>
    <xf numFmtId="2" fontId="47" fillId="0" borderId="15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 wrapText="1" indent="2"/>
    </xf>
    <xf numFmtId="0" fontId="46" fillId="24" borderId="15" xfId="0" applyFont="1" applyFill="1" applyBorder="1" applyAlignment="1">
      <alignment horizontal="center" vertical="center" wrapText="1"/>
    </xf>
    <xf numFmtId="2" fontId="46" fillId="24" borderId="42" xfId="0" applyNumberFormat="1" applyFont="1" applyFill="1" applyBorder="1" applyAlignment="1">
      <alignment horizontal="center"/>
    </xf>
    <xf numFmtId="2" fontId="46" fillId="24" borderId="14" xfId="0" applyNumberFormat="1" applyFont="1" applyFill="1" applyBorder="1" applyAlignment="1">
      <alignment horizontal="center"/>
    </xf>
    <xf numFmtId="2" fontId="46" fillId="24" borderId="15" xfId="0" applyNumberFormat="1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 horizontal="center"/>
    </xf>
    <xf numFmtId="2" fontId="46" fillId="24" borderId="35" xfId="0" applyNumberFormat="1" applyFont="1" applyFill="1" applyBorder="1" applyAlignment="1">
      <alignment horizontal="center"/>
    </xf>
    <xf numFmtId="2" fontId="46" fillId="24" borderId="42" xfId="50" applyNumberFormat="1" applyFont="1" applyFill="1" applyBorder="1" applyAlignment="1">
      <alignment horizontal="center"/>
    </xf>
    <xf numFmtId="0" fontId="46" fillId="24" borderId="15" xfId="0" applyFont="1" applyFill="1" applyBorder="1" applyAlignment="1">
      <alignment horizontal="center"/>
    </xf>
    <xf numFmtId="0" fontId="46" fillId="24" borderId="15" xfId="0" applyFont="1" applyFill="1" applyBorder="1" applyAlignment="1">
      <alignment horizontal="left" vertical="justify" indent="2"/>
    </xf>
    <xf numFmtId="49" fontId="46" fillId="0" borderId="14" xfId="43" applyNumberFormat="1" applyFont="1" applyFill="1" applyBorder="1" applyAlignment="1">
      <alignment horizontal="center" vertical="top"/>
    </xf>
    <xf numFmtId="49" fontId="46" fillId="0" borderId="15" xfId="43" applyNumberFormat="1" applyFont="1" applyFill="1" applyBorder="1" applyAlignment="1">
      <alignment horizontal="center" vertical="top"/>
    </xf>
    <xf numFmtId="0" fontId="46" fillId="24" borderId="15" xfId="43" applyFont="1" applyFill="1" applyBorder="1" applyAlignment="1">
      <alignment horizontal="left" indent="2"/>
    </xf>
    <xf numFmtId="0" fontId="46" fillId="24" borderId="15" xfId="43" applyFont="1" applyFill="1" applyBorder="1" applyAlignment="1">
      <alignment horizontal="center"/>
    </xf>
    <xf numFmtId="2" fontId="46" fillId="24" borderId="42" xfId="43" applyNumberFormat="1" applyFont="1" applyFill="1" applyBorder="1" applyAlignment="1">
      <alignment horizontal="center"/>
    </xf>
    <xf numFmtId="2" fontId="46" fillId="24" borderId="14" xfId="43" applyNumberFormat="1" applyFont="1" applyFill="1" applyBorder="1" applyAlignment="1">
      <alignment horizontal="center"/>
    </xf>
    <xf numFmtId="2" fontId="46" fillId="24" borderId="15" xfId="43" applyNumberFormat="1" applyFont="1" applyFill="1" applyBorder="1" applyAlignment="1">
      <alignment horizontal="center"/>
    </xf>
    <xf numFmtId="2" fontId="46" fillId="24" borderId="10" xfId="43" applyNumberFormat="1" applyFont="1" applyFill="1" applyBorder="1" applyAlignment="1">
      <alignment horizontal="center"/>
    </xf>
    <xf numFmtId="2" fontId="46" fillId="24" borderId="35" xfId="43" applyNumberFormat="1" applyFont="1" applyFill="1" applyBorder="1" applyAlignment="1">
      <alignment horizontal="center"/>
    </xf>
    <xf numFmtId="49" fontId="46" fillId="24" borderId="15" xfId="43" applyNumberFormat="1" applyFont="1" applyFill="1" applyBorder="1" applyAlignment="1">
      <alignment horizontal="left" indent="2"/>
    </xf>
    <xf numFmtId="0" fontId="46" fillId="24" borderId="15" xfId="43" applyFont="1" applyFill="1" applyBorder="1" applyAlignment="1">
      <alignment horizontal="left" vertical="top" indent="2"/>
    </xf>
    <xf numFmtId="0" fontId="46" fillId="24" borderId="15" xfId="43" applyFont="1" applyFill="1" applyBorder="1" applyAlignment="1">
      <alignment horizontal="left" vertical="justify" indent="2"/>
    </xf>
    <xf numFmtId="49" fontId="47" fillId="0" borderId="14" xfId="43" applyNumberFormat="1" applyFont="1" applyFill="1" applyBorder="1" applyAlignment="1">
      <alignment horizontal="center" vertical="top"/>
    </xf>
    <xf numFmtId="49" fontId="47" fillId="0" borderId="15" xfId="43" applyNumberFormat="1" applyFont="1" applyFill="1" applyBorder="1" applyAlignment="1">
      <alignment horizontal="center" vertical="top"/>
    </xf>
    <xf numFmtId="0" fontId="47" fillId="24" borderId="15" xfId="43" applyFont="1" applyFill="1" applyBorder="1" applyAlignment="1">
      <alignment horizontal="left" wrapText="1" indent="2"/>
    </xf>
    <xf numFmtId="0" fontId="47" fillId="24" borderId="15" xfId="43" applyFont="1" applyFill="1" applyBorder="1" applyAlignment="1">
      <alignment horizontal="center"/>
    </xf>
    <xf numFmtId="2" fontId="47" fillId="24" borderId="42" xfId="43" applyNumberFormat="1" applyFont="1" applyFill="1" applyBorder="1" applyAlignment="1">
      <alignment horizontal="center"/>
    </xf>
    <xf numFmtId="2" fontId="47" fillId="24" borderId="14" xfId="43" applyNumberFormat="1" applyFont="1" applyFill="1" applyBorder="1" applyAlignment="1">
      <alignment horizontal="center"/>
    </xf>
    <xf numFmtId="2" fontId="47" fillId="24" borderId="15" xfId="43" applyNumberFormat="1" applyFont="1" applyFill="1" applyBorder="1" applyAlignment="1">
      <alignment horizontal="center"/>
    </xf>
    <xf numFmtId="2" fontId="47" fillId="24" borderId="10" xfId="43" applyNumberFormat="1" applyFont="1" applyFill="1" applyBorder="1" applyAlignment="1">
      <alignment horizontal="center"/>
    </xf>
    <xf numFmtId="2" fontId="47" fillId="24" borderId="35" xfId="43" applyNumberFormat="1" applyFont="1" applyFill="1" applyBorder="1" applyAlignment="1">
      <alignment horizontal="center"/>
    </xf>
    <xf numFmtId="0" fontId="47" fillId="0" borderId="15" xfId="43" applyFont="1" applyFill="1" applyBorder="1" applyAlignment="1">
      <alignment horizontal="left" wrapText="1" indent="2"/>
    </xf>
    <xf numFmtId="0" fontId="47" fillId="0" borderId="15" xfId="43" applyFont="1" applyFill="1" applyBorder="1" applyAlignment="1">
      <alignment horizontal="center"/>
    </xf>
    <xf numFmtId="2" fontId="47" fillId="0" borderId="42" xfId="43" applyNumberFormat="1" applyFont="1" applyFill="1" applyBorder="1" applyAlignment="1">
      <alignment horizontal="center"/>
    </xf>
    <xf numFmtId="2" fontId="47" fillId="0" borderId="14" xfId="43" applyNumberFormat="1" applyFont="1" applyFill="1" applyBorder="1" applyAlignment="1">
      <alignment horizontal="center"/>
    </xf>
    <xf numFmtId="2" fontId="47" fillId="0" borderId="15" xfId="43" applyNumberFormat="1" applyFont="1" applyFill="1" applyBorder="1" applyAlignment="1">
      <alignment horizontal="center"/>
    </xf>
    <xf numFmtId="2" fontId="47" fillId="0" borderId="10" xfId="43" applyNumberFormat="1" applyFont="1" applyFill="1" applyBorder="1" applyAlignment="1">
      <alignment horizontal="center"/>
    </xf>
    <xf numFmtId="2" fontId="47" fillId="0" borderId="35" xfId="43" applyNumberFormat="1" applyFont="1" applyFill="1" applyBorder="1" applyAlignment="1">
      <alignment horizontal="center"/>
    </xf>
    <xf numFmtId="0" fontId="47" fillId="24" borderId="15" xfId="43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33" xfId="37" applyNumberFormat="1" applyFont="1" applyFill="1" applyBorder="1" applyAlignment="1">
      <alignment horizontal="center" vertical="center" wrapText="1"/>
    </xf>
    <xf numFmtId="0" fontId="10" fillId="0" borderId="10" xfId="37" applyNumberFormat="1" applyFont="1" applyFill="1" applyBorder="1" applyAlignment="1">
      <alignment horizontal="center" vertical="center" wrapText="1"/>
    </xf>
    <xf numFmtId="0" fontId="10" fillId="0" borderId="24" xfId="3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right"/>
    </xf>
    <xf numFmtId="0" fontId="10" fillId="0" borderId="30" xfId="37" applyNumberFormat="1" applyFont="1" applyFill="1" applyBorder="1" applyAlignment="1">
      <alignment horizontal="center" vertical="center" wrapText="1"/>
    </xf>
    <xf numFmtId="0" fontId="10" fillId="0" borderId="15" xfId="37" applyNumberFormat="1" applyFont="1" applyFill="1" applyBorder="1" applyAlignment="1">
      <alignment horizontal="center" vertical="center" wrapText="1"/>
    </xf>
    <xf numFmtId="0" fontId="10" fillId="0" borderId="23" xfId="37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6" fillId="25" borderId="49" xfId="43" applyNumberFormat="1" applyFont="1" applyFill="1" applyBorder="1" applyAlignment="1">
      <alignment horizontal="center"/>
    </xf>
    <xf numFmtId="2" fontId="6" fillId="25" borderId="50" xfId="43" applyNumberFormat="1" applyFont="1" applyFill="1" applyBorder="1" applyAlignment="1">
      <alignment horizontal="center"/>
    </xf>
    <xf numFmtId="2" fontId="6" fillId="25" borderId="51" xfId="43" applyNumberFormat="1" applyFont="1" applyFill="1" applyBorder="1" applyAlignment="1">
      <alignment horizontal="center"/>
    </xf>
    <xf numFmtId="2" fontId="4" fillId="0" borderId="0" xfId="38" applyNumberFormat="1" applyFont="1" applyFill="1" applyBorder="1" applyAlignment="1">
      <alignment horizontal="left" vertical="center"/>
    </xf>
    <xf numFmtId="0" fontId="7" fillId="0" borderId="30" xfId="38" applyFont="1" applyFill="1" applyBorder="1" applyAlignment="1">
      <alignment horizontal="center" vertical="center" wrapText="1"/>
    </xf>
    <xf numFmtId="0" fontId="7" fillId="0" borderId="23" xfId="38" applyFont="1" applyFill="1" applyBorder="1" applyAlignment="1">
      <alignment horizontal="center" vertical="center" wrapText="1"/>
    </xf>
    <xf numFmtId="0" fontId="7" fillId="0" borderId="30" xfId="38" applyFont="1" applyFill="1" applyBorder="1" applyAlignment="1">
      <alignment horizontal="center" vertical="center" textRotation="90"/>
    </xf>
    <xf numFmtId="0" fontId="7" fillId="0" borderId="23" xfId="38" applyFont="1" applyFill="1" applyBorder="1" applyAlignment="1">
      <alignment horizontal="center" vertical="center" textRotation="90"/>
    </xf>
    <xf numFmtId="0" fontId="4" fillId="0" borderId="0" xfId="38" applyFont="1" applyFill="1" applyBorder="1" applyAlignment="1">
      <alignment horizontal="center" vertical="center"/>
    </xf>
    <xf numFmtId="0" fontId="2" fillId="0" borderId="0" xfId="38" applyFont="1" applyFill="1" applyBorder="1" applyAlignment="1">
      <alignment horizontal="right" vertical="center"/>
    </xf>
    <xf numFmtId="0" fontId="7" fillId="0" borderId="41" xfId="38" applyFont="1" applyFill="1" applyBorder="1" applyAlignment="1">
      <alignment horizontal="center" vertical="center"/>
    </xf>
    <xf numFmtId="0" fontId="7" fillId="0" borderId="30" xfId="38" applyFont="1" applyFill="1" applyBorder="1" applyAlignment="1">
      <alignment horizontal="center" vertical="center"/>
    </xf>
    <xf numFmtId="0" fontId="7" fillId="0" borderId="33" xfId="38" applyFont="1" applyFill="1" applyBorder="1" applyAlignment="1">
      <alignment horizontal="center" vertical="center"/>
    </xf>
    <xf numFmtId="0" fontId="6" fillId="0" borderId="43" xfId="38" applyFont="1" applyFill="1" applyBorder="1" applyAlignment="1">
      <alignment horizontal="right"/>
    </xf>
    <xf numFmtId="0" fontId="6" fillId="0" borderId="44" xfId="38" applyFont="1" applyFill="1" applyBorder="1" applyAlignment="1">
      <alignment horizontal="right"/>
    </xf>
    <xf numFmtId="0" fontId="6" fillId="0" borderId="45" xfId="38" applyFont="1" applyFill="1" applyBorder="1" applyAlignment="1">
      <alignment horizontal="right"/>
    </xf>
    <xf numFmtId="0" fontId="6" fillId="0" borderId="46" xfId="38" applyFont="1" applyFill="1" applyBorder="1" applyAlignment="1">
      <alignment horizontal="right"/>
    </xf>
    <xf numFmtId="0" fontId="6" fillId="0" borderId="47" xfId="38" applyFont="1" applyFill="1" applyBorder="1" applyAlignment="1">
      <alignment horizontal="right"/>
    </xf>
    <xf numFmtId="0" fontId="6" fillId="0" borderId="48" xfId="38" applyFont="1" applyFill="1" applyBorder="1" applyAlignment="1">
      <alignment horizontal="right"/>
    </xf>
    <xf numFmtId="0" fontId="7" fillId="0" borderId="29" xfId="38" applyFont="1" applyFill="1" applyBorder="1" applyAlignment="1">
      <alignment horizontal="center" vertical="center" textRotation="90" wrapText="1"/>
    </xf>
    <xf numFmtId="0" fontId="7" fillId="0" borderId="22" xfId="38" applyFont="1" applyFill="1" applyBorder="1" applyAlignment="1">
      <alignment horizontal="center" vertical="center" textRotation="90" wrapText="1"/>
    </xf>
    <xf numFmtId="49" fontId="7" fillId="0" borderId="30" xfId="38" applyNumberFormat="1" applyFont="1" applyFill="1" applyBorder="1" applyAlignment="1">
      <alignment horizontal="center" vertical="center" textRotation="90" wrapText="1"/>
    </xf>
    <xf numFmtId="49" fontId="7" fillId="0" borderId="23" xfId="38" applyNumberFormat="1" applyFont="1" applyFill="1" applyBorder="1" applyAlignment="1">
      <alignment horizontal="center" vertical="center" textRotation="90" wrapText="1"/>
    </xf>
    <xf numFmtId="0" fontId="7" fillId="0" borderId="39" xfId="38" applyFont="1" applyFill="1" applyBorder="1" applyAlignment="1">
      <alignment horizontal="center" vertical="center" textRotation="90"/>
    </xf>
    <xf numFmtId="0" fontId="8" fillId="0" borderId="40" xfId="38" applyFont="1" applyFill="1" applyBorder="1" applyAlignment="1">
      <alignment textRotation="90"/>
    </xf>
    <xf numFmtId="0" fontId="7" fillId="0" borderId="29" xfId="38" applyFont="1" applyFill="1" applyBorder="1" applyAlignment="1">
      <alignment horizontal="center" vertical="center"/>
    </xf>
    <xf numFmtId="2" fontId="7" fillId="25" borderId="49" xfId="43" applyNumberFormat="1" applyFont="1" applyFill="1" applyBorder="1" applyAlignment="1">
      <alignment horizontal="left" vertical="center"/>
    </xf>
    <xf numFmtId="2" fontId="7" fillId="25" borderId="50" xfId="43" applyNumberFormat="1" applyFont="1" applyFill="1" applyBorder="1" applyAlignment="1">
      <alignment horizontal="left" vertical="center"/>
    </xf>
    <xf numFmtId="2" fontId="7" fillId="25" borderId="51" xfId="43" applyNumberFormat="1" applyFont="1" applyFill="1" applyBorder="1" applyAlignment="1">
      <alignment horizontal="left" vertical="center"/>
    </xf>
    <xf numFmtId="49" fontId="7" fillId="25" borderId="49" xfId="43" applyNumberFormat="1" applyFont="1" applyFill="1" applyBorder="1" applyAlignment="1">
      <alignment horizontal="center" vertical="center"/>
    </xf>
    <xf numFmtId="49" fontId="7" fillId="25" borderId="50" xfId="43" applyNumberFormat="1" applyFont="1" applyFill="1" applyBorder="1" applyAlignment="1">
      <alignment horizontal="center" vertical="center"/>
    </xf>
    <xf numFmtId="49" fontId="7" fillId="25" borderId="51" xfId="43" applyNumberFormat="1" applyFont="1" applyFill="1" applyBorder="1" applyAlignment="1">
      <alignment horizontal="center" vertical="center"/>
    </xf>
    <xf numFmtId="49" fontId="6" fillId="27" borderId="49" xfId="43" applyNumberFormat="1" applyFont="1" applyFill="1" applyBorder="1" applyAlignment="1">
      <alignment horizontal="center" vertical="center"/>
    </xf>
    <xf numFmtId="49" fontId="6" fillId="27" borderId="50" xfId="43" applyNumberFormat="1" applyFont="1" applyFill="1" applyBorder="1" applyAlignment="1">
      <alignment horizontal="center" vertical="center"/>
    </xf>
    <xf numFmtId="49" fontId="6" fillId="27" borderId="51" xfId="43" applyNumberFormat="1" applyFont="1" applyFill="1" applyBorder="1" applyAlignment="1">
      <alignment horizontal="center" vertical="center"/>
    </xf>
    <xf numFmtId="0" fontId="40" fillId="0" borderId="43" xfId="38" applyFont="1" applyFill="1" applyBorder="1" applyAlignment="1">
      <alignment horizontal="right"/>
    </xf>
    <xf numFmtId="0" fontId="40" fillId="0" borderId="44" xfId="38" applyFont="1" applyFill="1" applyBorder="1" applyAlignment="1">
      <alignment horizontal="right"/>
    </xf>
    <xf numFmtId="0" fontId="40" fillId="0" borderId="45" xfId="38" applyFont="1" applyFill="1" applyBorder="1" applyAlignment="1">
      <alignment horizontal="right"/>
    </xf>
    <xf numFmtId="0" fontId="40" fillId="0" borderId="46" xfId="38" applyFont="1" applyFill="1" applyBorder="1" applyAlignment="1">
      <alignment horizontal="right"/>
    </xf>
    <xf numFmtId="0" fontId="40" fillId="0" borderId="47" xfId="38" applyFont="1" applyFill="1" applyBorder="1" applyAlignment="1">
      <alignment horizontal="right"/>
    </xf>
    <xf numFmtId="0" fontId="40" fillId="0" borderId="48" xfId="38" applyFont="1" applyFill="1" applyBorder="1" applyAlignment="1">
      <alignment horizontal="right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CMD Lapmežciema TN foajē" xfId="47"/>
    <cellStyle name="Normal_tame,  PII Papardīte fasādes siltinšana" xfId="48"/>
    <cellStyle name="Normal_tāme engures saieta nams JF" xfId="37"/>
    <cellStyle name="Normal_Tāme fasāde PII Ķipars (Māris)" xfId="49"/>
    <cellStyle name="Normal_tāme roja DABASZINĪBAS JF" xfId="38"/>
    <cellStyle name="Normal_tāme TĒRVETE (jaunā forma)" xfId="39"/>
    <cellStyle name="Normal_Upesgrīva toča" xfId="50"/>
    <cellStyle name="Note" xfId="40" builtinId="10" customBuiltin="1"/>
    <cellStyle name="Output" xfId="41" builtinId="21" customBuiltin="1"/>
    <cellStyle name="Stils 1" xfId="42"/>
    <cellStyle name="Style 1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33"/>
  <sheetViews>
    <sheetView zoomScale="120" zoomScaleNormal="120" workbookViewId="0">
      <selection activeCell="B29" sqref="B29"/>
    </sheetView>
  </sheetViews>
  <sheetFormatPr defaultRowHeight="12.75"/>
  <cols>
    <col min="1" max="1" width="8.140625" style="26" customWidth="1"/>
    <col min="2" max="2" width="53.28515625" style="31" customWidth="1"/>
    <col min="3" max="3" width="12.28515625" style="31" customWidth="1"/>
    <col min="4" max="4" width="16.140625" style="32" customWidth="1"/>
    <col min="5" max="5" width="10.140625" style="21" bestFit="1" customWidth="1"/>
    <col min="6" max="6" width="9.5703125" style="21" bestFit="1" customWidth="1"/>
    <col min="7" max="16384" width="9.140625" style="21"/>
  </cols>
  <sheetData>
    <row r="1" spans="1:8">
      <c r="A1" s="9"/>
      <c r="B1" s="33"/>
      <c r="C1" s="33"/>
      <c r="D1" s="34" t="s">
        <v>20</v>
      </c>
    </row>
    <row r="2" spans="1:8">
      <c r="A2" s="35"/>
      <c r="B2" s="36"/>
      <c r="C2" s="36"/>
      <c r="D2" s="37" t="s">
        <v>13</v>
      </c>
    </row>
    <row r="3" spans="1:8">
      <c r="A3" s="35"/>
      <c r="B3" s="37"/>
      <c r="C3" s="36"/>
    </row>
    <row r="4" spans="1:8">
      <c r="A4" s="35"/>
      <c r="B4" s="36"/>
      <c r="C4" s="36"/>
      <c r="D4" s="37"/>
    </row>
    <row r="5" spans="1:8" ht="15">
      <c r="A5" s="35"/>
      <c r="B5" s="37"/>
      <c r="C5" s="36"/>
      <c r="D5" s="14"/>
    </row>
    <row r="6" spans="1:8">
      <c r="A6" s="35"/>
      <c r="B6" s="36"/>
      <c r="C6" s="36"/>
      <c r="D6" s="37"/>
    </row>
    <row r="7" spans="1:8" s="11" customFormat="1" ht="25.5" customHeight="1">
      <c r="A7" s="12"/>
      <c r="B7" s="12"/>
      <c r="C7" s="12"/>
      <c r="D7" s="12"/>
      <c r="E7" s="13"/>
      <c r="F7" s="13"/>
      <c r="G7" s="13"/>
      <c r="H7" s="13"/>
    </row>
    <row r="8" spans="1:8" s="11" customFormat="1" ht="18" customHeight="1">
      <c r="A8" s="14"/>
      <c r="B8" s="15"/>
      <c r="C8" s="15"/>
      <c r="D8" s="10"/>
    </row>
    <row r="9" spans="1:8" s="11" customFormat="1" ht="15">
      <c r="A9" s="431" t="s">
        <v>14</v>
      </c>
      <c r="B9" s="431"/>
      <c r="C9" s="431"/>
      <c r="D9" s="431"/>
    </row>
    <row r="10" spans="1:8" s="11" customFormat="1" ht="18" customHeight="1">
      <c r="A10" s="38"/>
      <c r="B10" s="38"/>
      <c r="C10" s="38"/>
      <c r="D10" s="38"/>
    </row>
    <row r="11" spans="1:8" s="11" customFormat="1" ht="15">
      <c r="A11" s="74" t="s">
        <v>58</v>
      </c>
      <c r="B11" s="75"/>
      <c r="C11" s="76"/>
      <c r="D11" s="53"/>
    </row>
    <row r="12" spans="1:8" s="39" customFormat="1" ht="15">
      <c r="A12" s="40" t="s">
        <v>30</v>
      </c>
      <c r="B12" s="75"/>
      <c r="C12" s="77"/>
      <c r="D12" s="54"/>
    </row>
    <row r="13" spans="1:8" s="14" customFormat="1" ht="15">
      <c r="A13" s="40" t="s">
        <v>57</v>
      </c>
      <c r="B13" s="98"/>
      <c r="C13" s="77"/>
      <c r="D13" s="54"/>
    </row>
    <row r="14" spans="1:8" s="11" customFormat="1" ht="18" customHeight="1" thickBot="1">
      <c r="A14" s="41"/>
      <c r="B14" s="1"/>
      <c r="C14" s="1"/>
      <c r="D14" s="2"/>
    </row>
    <row r="15" spans="1:8" ht="12.75" customHeight="1">
      <c r="A15" s="432" t="s">
        <v>21</v>
      </c>
      <c r="B15" s="434" t="s">
        <v>22</v>
      </c>
      <c r="C15" s="434" t="s">
        <v>15</v>
      </c>
      <c r="D15" s="436" t="s">
        <v>33</v>
      </c>
    </row>
    <row r="16" spans="1:8" s="22" customFormat="1" ht="12.75" customHeight="1">
      <c r="A16" s="433"/>
      <c r="B16" s="435"/>
      <c r="C16" s="435"/>
      <c r="D16" s="437"/>
    </row>
    <row r="17" spans="1:6" s="22" customFormat="1" ht="11.25" customHeight="1" thickBot="1">
      <c r="A17" s="433"/>
      <c r="B17" s="435"/>
      <c r="C17" s="435"/>
      <c r="D17" s="437"/>
    </row>
    <row r="18" spans="1:6" s="23" customFormat="1">
      <c r="A18" s="63" t="s">
        <v>3</v>
      </c>
      <c r="B18" s="93" t="s">
        <v>31</v>
      </c>
      <c r="C18" s="64" t="s">
        <v>16</v>
      </c>
      <c r="D18" s="65"/>
    </row>
    <row r="19" spans="1:6" s="23" customFormat="1" ht="13.5" thickBot="1">
      <c r="A19" s="66"/>
      <c r="B19" s="67" t="s">
        <v>12</v>
      </c>
      <c r="C19" s="68"/>
      <c r="D19" s="69"/>
      <c r="E19" s="42"/>
    </row>
    <row r="20" spans="1:6" ht="13.5" thickBot="1">
      <c r="A20" s="43"/>
      <c r="B20" s="44" t="s">
        <v>35</v>
      </c>
      <c r="C20" s="45"/>
      <c r="D20" s="7"/>
    </row>
    <row r="21" spans="1:6" ht="13.5" thickBot="1">
      <c r="A21" s="47"/>
      <c r="B21" s="94" t="s">
        <v>32</v>
      </c>
      <c r="C21" s="48">
        <v>0.21</v>
      </c>
      <c r="D21" s="8"/>
      <c r="F21" s="46"/>
    </row>
    <row r="22" spans="1:6" ht="13.5" thickBot="1">
      <c r="A22" s="49"/>
      <c r="B22" s="50" t="s">
        <v>34</v>
      </c>
      <c r="C22" s="50"/>
      <c r="D22" s="24"/>
      <c r="F22" s="46"/>
    </row>
    <row r="23" spans="1:6">
      <c r="A23" s="6"/>
      <c r="B23" s="27"/>
      <c r="D23" s="28"/>
      <c r="F23" s="46"/>
    </row>
    <row r="24" spans="1:6" ht="16.5" customHeight="1">
      <c r="A24" s="6"/>
      <c r="B24" s="27"/>
      <c r="D24" s="28"/>
    </row>
    <row r="25" spans="1:6" ht="16.5" customHeight="1">
      <c r="A25" s="6"/>
      <c r="B25" s="27"/>
      <c r="D25" s="28"/>
    </row>
    <row r="26" spans="1:6" ht="16.5" customHeight="1">
      <c r="A26" s="29"/>
      <c r="B26" s="20"/>
      <c r="D26" s="28"/>
    </row>
    <row r="27" spans="1:6" ht="16.5" customHeight="1">
      <c r="A27" s="36"/>
      <c r="B27" s="30"/>
      <c r="D27" s="28"/>
    </row>
    <row r="28" spans="1:6" ht="16.5" customHeight="1">
      <c r="A28" s="6"/>
      <c r="B28" s="27"/>
      <c r="D28" s="28"/>
    </row>
    <row r="29" spans="1:6" ht="16.5" customHeight="1">
      <c r="A29" s="6"/>
      <c r="B29" s="27"/>
      <c r="D29" s="28"/>
    </row>
    <row r="30" spans="1:6" ht="16.5" customHeight="1">
      <c r="A30" s="6"/>
      <c r="B30" s="27"/>
      <c r="D30" s="28"/>
    </row>
    <row r="31" spans="1:6" ht="16.5" customHeight="1">
      <c r="A31" s="6"/>
      <c r="B31" s="27"/>
      <c r="D31" s="28"/>
    </row>
    <row r="32" spans="1:6" ht="16.5" customHeight="1">
      <c r="B32" s="20"/>
    </row>
    <row r="33" ht="16.5" customHeight="1"/>
  </sheetData>
  <mergeCells count="5">
    <mergeCell ref="A9:D9"/>
    <mergeCell ref="A15:A17"/>
    <mergeCell ref="B15:B17"/>
    <mergeCell ref="C15:C17"/>
    <mergeCell ref="D15:D17"/>
  </mergeCells>
  <phoneticPr fontId="34" type="noConversion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56"/>
  <sheetViews>
    <sheetView showZeros="0" topLeftCell="A31" zoomScale="145" zoomScaleNormal="145" workbookViewId="0">
      <selection activeCell="C55" sqref="C55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153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'O1'!B22</f>
        <v>Telpu remonts 4.grupa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68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154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52.5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49.875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13.125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23.625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29" customFormat="1" ht="23.25" customHeight="1">
      <c r="A20" s="130" t="s">
        <v>29</v>
      </c>
      <c r="B20" s="131" t="s">
        <v>25</v>
      </c>
      <c r="C20" s="132" t="s">
        <v>83</v>
      </c>
      <c r="D20" s="133" t="s">
        <v>23</v>
      </c>
      <c r="E20" s="134">
        <v>20.2</v>
      </c>
      <c r="F20" s="135"/>
      <c r="G20" s="111"/>
      <c r="H20" s="136"/>
      <c r="I20" s="112"/>
      <c r="J20" s="136"/>
      <c r="K20" s="137"/>
      <c r="L20" s="138"/>
      <c r="M20" s="136"/>
      <c r="N20" s="136"/>
      <c r="O20" s="136"/>
      <c r="P20" s="137"/>
    </row>
    <row r="21" spans="1:21" s="129" customFormat="1" ht="11.25" customHeight="1">
      <c r="A21" s="130" t="s">
        <v>47</v>
      </c>
      <c r="B21" s="131" t="s">
        <v>25</v>
      </c>
      <c r="C21" s="132" t="s">
        <v>84</v>
      </c>
      <c r="D21" s="133" t="s">
        <v>24</v>
      </c>
      <c r="E21" s="134">
        <v>18.100000000000001</v>
      </c>
      <c r="F21" s="135"/>
      <c r="G21" s="111"/>
      <c r="H21" s="136"/>
      <c r="I21" s="136"/>
      <c r="J21" s="136"/>
      <c r="K21" s="137"/>
      <c r="L21" s="138"/>
      <c r="M21" s="136"/>
      <c r="N21" s="136"/>
      <c r="O21" s="136"/>
      <c r="P21" s="137"/>
    </row>
    <row r="22" spans="1:21" s="129" customFormat="1" ht="23.25" customHeight="1">
      <c r="A22" s="130" t="s">
        <v>48</v>
      </c>
      <c r="B22" s="131" t="s">
        <v>25</v>
      </c>
      <c r="C22" s="107" t="s">
        <v>91</v>
      </c>
      <c r="D22" s="139" t="s">
        <v>24</v>
      </c>
      <c r="E22" s="134">
        <v>18.100000000000001</v>
      </c>
      <c r="F22" s="140"/>
      <c r="G22" s="141"/>
      <c r="H22" s="141"/>
      <c r="I22" s="112"/>
      <c r="J22" s="141"/>
      <c r="K22" s="142"/>
      <c r="L22" s="143"/>
      <c r="M22" s="141"/>
      <c r="N22" s="141"/>
      <c r="O22" s="141"/>
      <c r="P22" s="142"/>
    </row>
    <row r="23" spans="1:21" s="129" customFormat="1" ht="24" customHeight="1">
      <c r="A23" s="156"/>
      <c r="B23" s="157"/>
      <c r="C23" s="254" t="s">
        <v>85</v>
      </c>
      <c r="D23" s="159" t="s">
        <v>28</v>
      </c>
      <c r="E23" s="160">
        <v>12</v>
      </c>
      <c r="F23" s="161"/>
      <c r="G23" s="162"/>
      <c r="H23" s="162"/>
      <c r="I23" s="163"/>
      <c r="J23" s="162"/>
      <c r="K23" s="164"/>
      <c r="L23" s="165"/>
      <c r="M23" s="162"/>
      <c r="N23" s="162"/>
      <c r="O23" s="162"/>
      <c r="P23" s="164"/>
    </row>
    <row r="24" spans="1:21" s="129" customFormat="1" ht="23.25" customHeight="1">
      <c r="A24" s="130" t="s">
        <v>70</v>
      </c>
      <c r="B24" s="145" t="s">
        <v>86</v>
      </c>
      <c r="C24" s="146" t="s">
        <v>87</v>
      </c>
      <c r="D24" s="139" t="s">
        <v>24</v>
      </c>
      <c r="E24" s="134">
        <v>18.100000000000001</v>
      </c>
      <c r="F24" s="147"/>
      <c r="G24" s="141"/>
      <c r="H24" s="144"/>
      <c r="I24" s="112"/>
      <c r="J24" s="144"/>
      <c r="K24" s="148"/>
      <c r="L24" s="149"/>
      <c r="M24" s="144"/>
      <c r="N24" s="144"/>
      <c r="O24" s="144"/>
      <c r="P24" s="148"/>
    </row>
    <row r="25" spans="1:21" s="129" customFormat="1" ht="34.5" customHeight="1">
      <c r="A25" s="156"/>
      <c r="B25" s="166"/>
      <c r="C25" s="158" t="s">
        <v>88</v>
      </c>
      <c r="D25" s="159" t="s">
        <v>24</v>
      </c>
      <c r="E25" s="160">
        <f>1.05*E24</f>
        <v>19.005000000000003</v>
      </c>
      <c r="F25" s="167"/>
      <c r="G25" s="163"/>
      <c r="H25" s="163"/>
      <c r="I25" s="163"/>
      <c r="J25" s="163"/>
      <c r="K25" s="168"/>
      <c r="L25" s="169"/>
      <c r="M25" s="163"/>
      <c r="N25" s="163"/>
      <c r="O25" s="163"/>
      <c r="P25" s="168"/>
    </row>
    <row r="26" spans="1:21" s="129" customFormat="1" ht="11.25" customHeight="1">
      <c r="A26" s="156"/>
      <c r="B26" s="170"/>
      <c r="C26" s="171" t="s">
        <v>75</v>
      </c>
      <c r="D26" s="172" t="s">
        <v>78</v>
      </c>
      <c r="E26" s="173">
        <f>1.05*E25</f>
        <v>19.955250000000003</v>
      </c>
      <c r="F26" s="174"/>
      <c r="G26" s="175"/>
      <c r="H26" s="175"/>
      <c r="I26" s="175"/>
      <c r="J26" s="175"/>
      <c r="K26" s="176"/>
      <c r="L26" s="177"/>
      <c r="M26" s="175"/>
      <c r="N26" s="175"/>
      <c r="O26" s="175"/>
      <c r="P26" s="176"/>
    </row>
    <row r="27" spans="1:21" s="129" customFormat="1" ht="11.25" customHeight="1">
      <c r="A27" s="156"/>
      <c r="B27" s="166"/>
      <c r="C27" s="178" t="s">
        <v>89</v>
      </c>
      <c r="D27" s="159" t="s">
        <v>27</v>
      </c>
      <c r="E27" s="160">
        <f>0.3*E24/12</f>
        <v>0.45250000000000007</v>
      </c>
      <c r="F27" s="167"/>
      <c r="G27" s="163"/>
      <c r="H27" s="163"/>
      <c r="I27" s="163"/>
      <c r="J27" s="163"/>
      <c r="K27" s="168"/>
      <c r="L27" s="169"/>
      <c r="M27" s="163"/>
      <c r="N27" s="163"/>
      <c r="O27" s="163"/>
      <c r="P27" s="168"/>
    </row>
    <row r="28" spans="1:21" s="129" customFormat="1" ht="11.25" customHeight="1">
      <c r="A28" s="156"/>
      <c r="B28" s="166"/>
      <c r="C28" s="178" t="s">
        <v>90</v>
      </c>
      <c r="D28" s="159" t="s">
        <v>23</v>
      </c>
      <c r="E28" s="160">
        <f>E24/2</f>
        <v>9.0500000000000007</v>
      </c>
      <c r="F28" s="167"/>
      <c r="G28" s="163"/>
      <c r="H28" s="163"/>
      <c r="I28" s="163"/>
      <c r="J28" s="163"/>
      <c r="K28" s="168"/>
      <c r="L28" s="169"/>
      <c r="M28" s="163"/>
      <c r="N28" s="163"/>
      <c r="O28" s="163"/>
      <c r="P28" s="168"/>
    </row>
    <row r="29" spans="1:21" s="197" customFormat="1">
      <c r="A29" s="486" t="s">
        <v>155</v>
      </c>
      <c r="B29" s="487"/>
      <c r="C29" s="487"/>
      <c r="D29" s="487"/>
      <c r="E29" s="488"/>
      <c r="F29" s="208"/>
      <c r="G29" s="209"/>
      <c r="H29" s="209"/>
      <c r="I29" s="209"/>
      <c r="J29" s="209"/>
      <c r="K29" s="210"/>
      <c r="L29" s="211"/>
      <c r="M29" s="211"/>
      <c r="N29" s="211"/>
      <c r="O29" s="211"/>
      <c r="P29" s="212"/>
      <c r="Q29" s="115"/>
      <c r="R29" s="115"/>
      <c r="S29" s="115"/>
      <c r="T29" s="115"/>
      <c r="U29" s="115"/>
    </row>
    <row r="30" spans="1:21" s="115" customFormat="1" ht="33.75">
      <c r="A30" s="105" t="s">
        <v>3</v>
      </c>
      <c r="B30" s="213" t="s">
        <v>25</v>
      </c>
      <c r="C30" s="199" t="s">
        <v>121</v>
      </c>
      <c r="D30" s="108" t="s">
        <v>24</v>
      </c>
      <c r="E30" s="109">
        <v>74.400000000000006</v>
      </c>
      <c r="F30" s="110"/>
      <c r="G30" s="111"/>
      <c r="H30" s="112"/>
      <c r="I30" s="112"/>
      <c r="J30" s="111"/>
      <c r="K30" s="113"/>
      <c r="L30" s="114"/>
      <c r="M30" s="112"/>
      <c r="N30" s="112"/>
      <c r="O30" s="112"/>
      <c r="P30" s="113"/>
    </row>
    <row r="31" spans="1:21" s="115" customFormat="1">
      <c r="A31" s="122"/>
      <c r="B31" s="150"/>
      <c r="C31" s="151" t="s">
        <v>75</v>
      </c>
      <c r="D31" s="123" t="s">
        <v>78</v>
      </c>
      <c r="E31" s="152">
        <f>0.95*E30</f>
        <v>70.680000000000007</v>
      </c>
      <c r="F31" s="124"/>
      <c r="G31" s="126"/>
      <c r="H31" s="126"/>
      <c r="I31" s="126"/>
      <c r="J31" s="125"/>
      <c r="K31" s="127"/>
      <c r="L31" s="128"/>
      <c r="M31" s="126"/>
      <c r="N31" s="126"/>
      <c r="O31" s="126"/>
      <c r="P31" s="127"/>
    </row>
    <row r="32" spans="1:21" s="115" customFormat="1">
      <c r="A32" s="122"/>
      <c r="B32" s="150"/>
      <c r="C32" s="153" t="s">
        <v>76</v>
      </c>
      <c r="D32" s="123" t="s">
        <v>78</v>
      </c>
      <c r="E32" s="152">
        <f>0.25*E30</f>
        <v>18.600000000000001</v>
      </c>
      <c r="F32" s="124"/>
      <c r="G32" s="126"/>
      <c r="H32" s="126"/>
      <c r="I32" s="154"/>
      <c r="J32" s="125"/>
      <c r="K32" s="127"/>
      <c r="L32" s="128"/>
      <c r="M32" s="126"/>
      <c r="N32" s="126"/>
      <c r="O32" s="126"/>
      <c r="P32" s="127"/>
    </row>
    <row r="33" spans="1:21" s="115" customFormat="1" ht="24" customHeight="1">
      <c r="A33" s="122"/>
      <c r="B33" s="150"/>
      <c r="C33" s="155" t="s">
        <v>79</v>
      </c>
      <c r="D33" s="123" t="s">
        <v>78</v>
      </c>
      <c r="E33" s="152">
        <f>E30*0.45</f>
        <v>33.480000000000004</v>
      </c>
      <c r="F33" s="124"/>
      <c r="G33" s="126"/>
      <c r="H33" s="126"/>
      <c r="I33" s="126"/>
      <c r="J33" s="125"/>
      <c r="K33" s="127"/>
      <c r="L33" s="128"/>
      <c r="M33" s="126"/>
      <c r="N33" s="126"/>
      <c r="O33" s="126"/>
      <c r="P33" s="127"/>
    </row>
    <row r="34" spans="1:21" s="115" customFormat="1" ht="23.25" customHeight="1">
      <c r="A34" s="130" t="s">
        <v>29</v>
      </c>
      <c r="B34" s="131" t="s">
        <v>25</v>
      </c>
      <c r="C34" s="199" t="s">
        <v>179</v>
      </c>
      <c r="D34" s="133" t="s">
        <v>24</v>
      </c>
      <c r="E34" s="134">
        <v>15.4</v>
      </c>
      <c r="F34" s="200"/>
      <c r="G34" s="111"/>
      <c r="H34" s="111"/>
      <c r="I34" s="112"/>
      <c r="J34" s="111"/>
      <c r="K34" s="201"/>
      <c r="L34" s="202"/>
      <c r="M34" s="111"/>
      <c r="N34" s="111"/>
      <c r="O34" s="111"/>
      <c r="P34" s="201"/>
    </row>
    <row r="35" spans="1:21" s="115" customFormat="1">
      <c r="A35" s="156"/>
      <c r="B35" s="157"/>
      <c r="C35" s="171" t="s">
        <v>100</v>
      </c>
      <c r="D35" s="172" t="s">
        <v>78</v>
      </c>
      <c r="E35" s="173">
        <f>E34*0.47</f>
        <v>7.2379999999999995</v>
      </c>
      <c r="F35" s="203"/>
      <c r="G35" s="125"/>
      <c r="H35" s="125"/>
      <c r="I35" s="175"/>
      <c r="J35" s="125"/>
      <c r="K35" s="204"/>
      <c r="L35" s="205"/>
      <c r="M35" s="125"/>
      <c r="N35" s="125"/>
      <c r="O35" s="125"/>
      <c r="P35" s="204"/>
    </row>
    <row r="36" spans="1:21" s="115" customFormat="1" ht="22.5">
      <c r="A36" s="130" t="s">
        <v>47</v>
      </c>
      <c r="B36" s="131" t="s">
        <v>25</v>
      </c>
      <c r="C36" s="199" t="s">
        <v>159</v>
      </c>
      <c r="D36" s="133" t="s">
        <v>24</v>
      </c>
      <c r="E36" s="134">
        <v>16.5</v>
      </c>
      <c r="F36" s="200"/>
      <c r="G36" s="111"/>
      <c r="H36" s="111"/>
      <c r="I36" s="112"/>
      <c r="J36" s="111"/>
      <c r="K36" s="201"/>
      <c r="L36" s="202"/>
      <c r="M36" s="111"/>
      <c r="N36" s="111"/>
      <c r="O36" s="111"/>
      <c r="P36" s="201"/>
    </row>
    <row r="37" spans="1:21" s="115" customFormat="1" ht="26.25" customHeight="1">
      <c r="A37" s="156"/>
      <c r="B37" s="157"/>
      <c r="C37" s="255" t="s">
        <v>158</v>
      </c>
      <c r="D37" s="159" t="s">
        <v>24</v>
      </c>
      <c r="E37" s="173">
        <f>E36*1</f>
        <v>16.5</v>
      </c>
      <c r="F37" s="203"/>
      <c r="G37" s="125"/>
      <c r="H37" s="125"/>
      <c r="I37" s="175"/>
      <c r="J37" s="125"/>
      <c r="K37" s="204"/>
      <c r="L37" s="205"/>
      <c r="M37" s="125"/>
      <c r="N37" s="125"/>
      <c r="O37" s="125"/>
      <c r="P37" s="204"/>
    </row>
    <row r="38" spans="1:21" s="197" customFormat="1">
      <c r="A38" s="486" t="s">
        <v>156</v>
      </c>
      <c r="B38" s="487"/>
      <c r="C38" s="487"/>
      <c r="D38" s="487"/>
      <c r="E38" s="488"/>
      <c r="F38" s="208"/>
      <c r="G38" s="209"/>
      <c r="H38" s="209"/>
      <c r="I38" s="209"/>
      <c r="J38" s="209"/>
      <c r="K38" s="210"/>
      <c r="L38" s="211"/>
      <c r="M38" s="211"/>
      <c r="N38" s="211"/>
      <c r="O38" s="211"/>
      <c r="P38" s="212"/>
      <c r="Q38" s="115"/>
      <c r="R38" s="115"/>
      <c r="S38" s="115"/>
      <c r="T38" s="115"/>
      <c r="U38" s="115"/>
    </row>
    <row r="39" spans="1:21" s="198" customFormat="1" ht="23.25" customHeight="1">
      <c r="A39" s="130" t="s">
        <v>3</v>
      </c>
      <c r="B39" s="131" t="s">
        <v>25</v>
      </c>
      <c r="C39" s="199" t="s">
        <v>159</v>
      </c>
      <c r="D39" s="133" t="s">
        <v>24</v>
      </c>
      <c r="E39" s="134">
        <v>10.4</v>
      </c>
      <c r="F39" s="200"/>
      <c r="G39" s="111"/>
      <c r="H39" s="111"/>
      <c r="I39" s="112"/>
      <c r="J39" s="111"/>
      <c r="K39" s="201"/>
      <c r="L39" s="202"/>
      <c r="M39" s="111"/>
      <c r="N39" s="111"/>
      <c r="O39" s="111"/>
      <c r="P39" s="201"/>
      <c r="Q39" s="51"/>
      <c r="R39" s="51"/>
      <c r="S39" s="51"/>
      <c r="T39" s="51"/>
      <c r="U39" s="51"/>
    </row>
    <row r="40" spans="1:21" s="198" customFormat="1" ht="24" customHeight="1">
      <c r="A40" s="156"/>
      <c r="B40" s="157"/>
      <c r="C40" s="255" t="s">
        <v>158</v>
      </c>
      <c r="D40" s="159" t="s">
        <v>24</v>
      </c>
      <c r="E40" s="173">
        <f>E39*1</f>
        <v>10.4</v>
      </c>
      <c r="F40" s="203"/>
      <c r="G40" s="125"/>
      <c r="H40" s="125"/>
      <c r="I40" s="175"/>
      <c r="J40" s="125"/>
      <c r="K40" s="204"/>
      <c r="L40" s="205"/>
      <c r="M40" s="125"/>
      <c r="N40" s="125"/>
      <c r="O40" s="125"/>
      <c r="P40" s="204"/>
      <c r="Q40" s="51"/>
      <c r="R40" s="51"/>
      <c r="S40" s="51"/>
      <c r="T40" s="51"/>
      <c r="U40" s="51"/>
    </row>
    <row r="41" spans="1:21" s="198" customFormat="1" ht="11.25" customHeight="1">
      <c r="A41" s="486" t="s">
        <v>157</v>
      </c>
      <c r="B41" s="487"/>
      <c r="C41" s="487"/>
      <c r="D41" s="487"/>
      <c r="E41" s="488"/>
      <c r="F41" s="208"/>
      <c r="G41" s="209"/>
      <c r="H41" s="209"/>
      <c r="I41" s="209"/>
      <c r="J41" s="209"/>
      <c r="K41" s="210"/>
      <c r="L41" s="211"/>
      <c r="M41" s="211"/>
      <c r="N41" s="211"/>
      <c r="O41" s="211"/>
      <c r="P41" s="212"/>
      <c r="Q41" s="51"/>
      <c r="R41" s="51"/>
      <c r="S41" s="51"/>
      <c r="T41" s="51"/>
      <c r="U41" s="51"/>
    </row>
    <row r="42" spans="1:21" s="198" customFormat="1" ht="34.5" customHeight="1">
      <c r="A42" s="105" t="s">
        <v>3</v>
      </c>
      <c r="B42" s="213" t="s">
        <v>25</v>
      </c>
      <c r="C42" s="199" t="s">
        <v>121</v>
      </c>
      <c r="D42" s="108" t="s">
        <v>24</v>
      </c>
      <c r="E42" s="109">
        <v>12.5</v>
      </c>
      <c r="F42" s="110"/>
      <c r="G42" s="111"/>
      <c r="H42" s="112"/>
      <c r="I42" s="112"/>
      <c r="J42" s="111"/>
      <c r="K42" s="113"/>
      <c r="L42" s="114"/>
      <c r="M42" s="112"/>
      <c r="N42" s="112"/>
      <c r="O42" s="112"/>
      <c r="P42" s="113"/>
      <c r="Q42" s="51"/>
      <c r="R42" s="51"/>
      <c r="S42" s="51"/>
      <c r="T42" s="51"/>
      <c r="U42" s="51"/>
    </row>
    <row r="43" spans="1:21" s="198" customFormat="1" ht="11.25" customHeight="1">
      <c r="A43" s="122"/>
      <c r="B43" s="150"/>
      <c r="C43" s="151" t="s">
        <v>75</v>
      </c>
      <c r="D43" s="123" t="s">
        <v>78</v>
      </c>
      <c r="E43" s="152">
        <f>0.95*E42</f>
        <v>11.875</v>
      </c>
      <c r="F43" s="124"/>
      <c r="G43" s="126"/>
      <c r="H43" s="126"/>
      <c r="I43" s="126"/>
      <c r="J43" s="125"/>
      <c r="K43" s="127"/>
      <c r="L43" s="128"/>
      <c r="M43" s="126"/>
      <c r="N43" s="126"/>
      <c r="O43" s="126"/>
      <c r="P43" s="127"/>
      <c r="Q43" s="51"/>
      <c r="R43" s="51"/>
      <c r="S43" s="51"/>
      <c r="T43" s="51"/>
      <c r="U43" s="51"/>
    </row>
    <row r="44" spans="1:21" s="198" customFormat="1" ht="11.25" customHeight="1">
      <c r="A44" s="122"/>
      <c r="B44" s="150"/>
      <c r="C44" s="153" t="s">
        <v>76</v>
      </c>
      <c r="D44" s="123" t="s">
        <v>78</v>
      </c>
      <c r="E44" s="152">
        <f>0.25*E42</f>
        <v>3.125</v>
      </c>
      <c r="F44" s="124"/>
      <c r="G44" s="126"/>
      <c r="H44" s="126"/>
      <c r="I44" s="154"/>
      <c r="J44" s="125"/>
      <c r="K44" s="127"/>
      <c r="L44" s="128"/>
      <c r="M44" s="126"/>
      <c r="N44" s="126"/>
      <c r="O44" s="126"/>
      <c r="P44" s="127"/>
      <c r="Q44" s="51"/>
      <c r="R44" s="51"/>
      <c r="S44" s="51"/>
      <c r="T44" s="51"/>
      <c r="U44" s="51"/>
    </row>
    <row r="45" spans="1:21" s="198" customFormat="1" ht="24" customHeight="1">
      <c r="A45" s="122"/>
      <c r="B45" s="150"/>
      <c r="C45" s="256" t="s">
        <v>79</v>
      </c>
      <c r="D45" s="123" t="s">
        <v>78</v>
      </c>
      <c r="E45" s="152">
        <f>E42*0.45</f>
        <v>5.625</v>
      </c>
      <c r="F45" s="124"/>
      <c r="G45" s="126"/>
      <c r="H45" s="126"/>
      <c r="I45" s="126"/>
      <c r="J45" s="125"/>
      <c r="K45" s="127"/>
      <c r="L45" s="128"/>
      <c r="M45" s="126"/>
      <c r="N45" s="126"/>
      <c r="O45" s="126"/>
      <c r="P45" s="127"/>
      <c r="Q45" s="51"/>
      <c r="R45" s="51"/>
      <c r="S45" s="51"/>
      <c r="T45" s="51"/>
      <c r="U45" s="51"/>
    </row>
    <row r="46" spans="1:21" s="198" customFormat="1" ht="11.25" customHeight="1">
      <c r="A46" s="130" t="s">
        <v>29</v>
      </c>
      <c r="B46" s="131" t="s">
        <v>25</v>
      </c>
      <c r="C46" s="199" t="s">
        <v>159</v>
      </c>
      <c r="D46" s="133" t="s">
        <v>24</v>
      </c>
      <c r="E46" s="134">
        <v>16.399999999999999</v>
      </c>
      <c r="F46" s="200"/>
      <c r="G46" s="111"/>
      <c r="H46" s="111"/>
      <c r="I46" s="112"/>
      <c r="J46" s="111"/>
      <c r="K46" s="201"/>
      <c r="L46" s="202"/>
      <c r="M46" s="111"/>
      <c r="N46" s="111"/>
      <c r="O46" s="111"/>
      <c r="P46" s="201"/>
      <c r="Q46" s="51"/>
      <c r="R46" s="51"/>
      <c r="S46" s="51"/>
      <c r="T46" s="51"/>
      <c r="U46" s="51"/>
    </row>
    <row r="47" spans="1:21" s="198" customFormat="1" ht="11.25" customHeight="1">
      <c r="A47" s="156"/>
      <c r="B47" s="157"/>
      <c r="C47" s="255" t="s">
        <v>158</v>
      </c>
      <c r="D47" s="159" t="s">
        <v>24</v>
      </c>
      <c r="E47" s="173">
        <f>E46*1</f>
        <v>16.399999999999999</v>
      </c>
      <c r="F47" s="203"/>
      <c r="G47" s="125"/>
      <c r="H47" s="125"/>
      <c r="I47" s="175"/>
      <c r="J47" s="125"/>
      <c r="K47" s="204"/>
      <c r="L47" s="205"/>
      <c r="M47" s="125"/>
      <c r="N47" s="125"/>
      <c r="O47" s="125"/>
      <c r="P47" s="204"/>
      <c r="Q47" s="51"/>
      <c r="R47" s="51"/>
      <c r="S47" s="51"/>
      <c r="T47" s="51"/>
      <c r="U47" s="51"/>
    </row>
    <row r="48" spans="1:21" s="115" customFormat="1" ht="12" thickBot="1">
      <c r="A48" s="492" t="s">
        <v>2</v>
      </c>
      <c r="B48" s="493"/>
      <c r="C48" s="493"/>
      <c r="D48" s="493"/>
      <c r="E48" s="493"/>
      <c r="F48" s="493"/>
      <c r="G48" s="493"/>
      <c r="H48" s="493"/>
      <c r="I48" s="493"/>
      <c r="J48" s="493"/>
      <c r="K48" s="494"/>
      <c r="L48" s="179">
        <f>SUM(L14:L47)</f>
        <v>0</v>
      </c>
      <c r="M48" s="179">
        <f>SUM(M14:M47)</f>
        <v>0</v>
      </c>
      <c r="N48" s="180"/>
      <c r="O48" s="179">
        <f>SUM(O14:O47)</f>
        <v>0</v>
      </c>
      <c r="P48" s="181">
        <f>SUM(P14:P47)</f>
        <v>0</v>
      </c>
    </row>
    <row r="49" spans="1:18" s="115" customFormat="1" ht="12" thickBot="1">
      <c r="A49" s="489" t="s">
        <v>263</v>
      </c>
      <c r="B49" s="490"/>
      <c r="C49" s="490"/>
      <c r="D49" s="490"/>
      <c r="E49" s="490"/>
      <c r="F49" s="490"/>
      <c r="G49" s="490"/>
      <c r="H49" s="490"/>
      <c r="I49" s="490"/>
      <c r="J49" s="490"/>
      <c r="K49" s="491"/>
      <c r="L49" s="182"/>
      <c r="M49" s="183"/>
      <c r="N49" s="184"/>
      <c r="O49" s="183"/>
      <c r="P49" s="185">
        <f>0.1*N48</f>
        <v>0</v>
      </c>
    </row>
    <row r="50" spans="1:18" s="115" customFormat="1" ht="12" thickBot="1">
      <c r="A50" s="489" t="s">
        <v>2</v>
      </c>
      <c r="B50" s="490"/>
      <c r="C50" s="490"/>
      <c r="D50" s="490"/>
      <c r="E50" s="490"/>
      <c r="F50" s="490"/>
      <c r="G50" s="490"/>
      <c r="H50" s="490"/>
      <c r="I50" s="490"/>
      <c r="J50" s="490"/>
      <c r="K50" s="491"/>
      <c r="L50" s="186">
        <f>SUM(L48:L49)</f>
        <v>0</v>
      </c>
      <c r="M50" s="187">
        <f>SUM(M48:M49)</f>
        <v>0</v>
      </c>
      <c r="N50" s="187">
        <f>SUM(N48:N49)</f>
        <v>0</v>
      </c>
      <c r="O50" s="187">
        <f>SUM(O48:O49)</f>
        <v>0</v>
      </c>
      <c r="P50" s="188">
        <f>SUM(P48:P49)</f>
        <v>0</v>
      </c>
    </row>
    <row r="51" spans="1:18" s="115" customForma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90"/>
      <c r="M51" s="190"/>
      <c r="N51" s="190"/>
      <c r="O51" s="190"/>
      <c r="P51" s="190"/>
    </row>
    <row r="52" spans="1:18" s="115" customForma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90"/>
      <c r="M52" s="190"/>
      <c r="N52" s="190"/>
      <c r="O52" s="190"/>
      <c r="P52" s="190"/>
    </row>
    <row r="53" spans="1:18" s="115" customForma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  <c r="M53" s="190"/>
      <c r="N53" s="190"/>
      <c r="O53" s="190"/>
      <c r="P53" s="190"/>
    </row>
    <row r="54" spans="1:18" s="115" customFormat="1" ht="12.75">
      <c r="B54" s="191"/>
      <c r="H54" s="192"/>
      <c r="I54" s="193"/>
    </row>
    <row r="55" spans="1:18" s="115" customFormat="1" ht="12.75">
      <c r="H55" s="194"/>
      <c r="O55" s="195"/>
      <c r="R55" s="196"/>
    </row>
    <row r="56" spans="1:18" s="115" customFormat="1"/>
  </sheetData>
  <mergeCells count="21">
    <mergeCell ref="A29:E29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L12:P12"/>
    <mergeCell ref="A14:E14"/>
    <mergeCell ref="F14:K14"/>
    <mergeCell ref="L14:P14"/>
    <mergeCell ref="A15:E15"/>
    <mergeCell ref="A38:E38"/>
    <mergeCell ref="A48:K48"/>
    <mergeCell ref="A49:K49"/>
    <mergeCell ref="A50:K50"/>
    <mergeCell ref="A41:E41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49"/>
  <sheetViews>
    <sheetView showZeros="0" topLeftCell="A7" zoomScale="145" zoomScaleNormal="145" workbookViewId="0">
      <selection activeCell="J58" sqref="J58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161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'O1'!B23</f>
        <v>Telpu remonts 5.grupa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69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124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53.1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50.445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13.275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23.895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29" customFormat="1" ht="23.25" customHeight="1">
      <c r="A20" s="130" t="s">
        <v>29</v>
      </c>
      <c r="B20" s="131" t="s">
        <v>25</v>
      </c>
      <c r="C20" s="132" t="s">
        <v>83</v>
      </c>
      <c r="D20" s="133" t="s">
        <v>23</v>
      </c>
      <c r="E20" s="134">
        <v>20.5</v>
      </c>
      <c r="F20" s="135"/>
      <c r="G20" s="111"/>
      <c r="H20" s="136"/>
      <c r="I20" s="112"/>
      <c r="J20" s="136"/>
      <c r="K20" s="137"/>
      <c r="L20" s="138"/>
      <c r="M20" s="136"/>
      <c r="N20" s="136"/>
      <c r="O20" s="136"/>
      <c r="P20" s="137"/>
    </row>
    <row r="21" spans="1:21" s="129" customFormat="1" ht="11.25" customHeight="1">
      <c r="A21" s="130" t="s">
        <v>47</v>
      </c>
      <c r="B21" s="131" t="s">
        <v>25</v>
      </c>
      <c r="C21" s="132" t="s">
        <v>84</v>
      </c>
      <c r="D21" s="133" t="s">
        <v>24</v>
      </c>
      <c r="E21" s="134">
        <v>18.5</v>
      </c>
      <c r="F21" s="135"/>
      <c r="G21" s="111"/>
      <c r="H21" s="136"/>
      <c r="I21" s="136"/>
      <c r="J21" s="136"/>
      <c r="K21" s="137"/>
      <c r="L21" s="138"/>
      <c r="M21" s="136"/>
      <c r="N21" s="136"/>
      <c r="O21" s="136"/>
      <c r="P21" s="137"/>
    </row>
    <row r="22" spans="1:21" s="129" customFormat="1" ht="23.25" customHeight="1">
      <c r="A22" s="130" t="s">
        <v>48</v>
      </c>
      <c r="B22" s="131" t="s">
        <v>25</v>
      </c>
      <c r="C22" s="107" t="s">
        <v>91</v>
      </c>
      <c r="D22" s="139" t="s">
        <v>24</v>
      </c>
      <c r="E22" s="134">
        <v>18.5</v>
      </c>
      <c r="F22" s="140"/>
      <c r="G22" s="141"/>
      <c r="H22" s="141"/>
      <c r="I22" s="112"/>
      <c r="J22" s="141"/>
      <c r="K22" s="142"/>
      <c r="L22" s="143"/>
      <c r="M22" s="141"/>
      <c r="N22" s="141"/>
      <c r="O22" s="141"/>
      <c r="P22" s="142"/>
    </row>
    <row r="23" spans="1:21" s="129" customFormat="1" ht="24" customHeight="1">
      <c r="A23" s="156"/>
      <c r="B23" s="157"/>
      <c r="C23" s="254" t="s">
        <v>85</v>
      </c>
      <c r="D23" s="159" t="s">
        <v>28</v>
      </c>
      <c r="E23" s="160">
        <v>12</v>
      </c>
      <c r="F23" s="161"/>
      <c r="G23" s="162"/>
      <c r="H23" s="162"/>
      <c r="I23" s="163"/>
      <c r="J23" s="162"/>
      <c r="K23" s="164"/>
      <c r="L23" s="165"/>
      <c r="M23" s="162"/>
      <c r="N23" s="162"/>
      <c r="O23" s="162"/>
      <c r="P23" s="164"/>
    </row>
    <row r="24" spans="1:21" s="129" customFormat="1" ht="23.25" customHeight="1">
      <c r="A24" s="130" t="s">
        <v>70</v>
      </c>
      <c r="B24" s="257" t="s">
        <v>86</v>
      </c>
      <c r="C24" s="146" t="s">
        <v>87</v>
      </c>
      <c r="D24" s="139" t="s">
        <v>24</v>
      </c>
      <c r="E24" s="134">
        <v>18.5</v>
      </c>
      <c r="F24" s="147"/>
      <c r="G24" s="141"/>
      <c r="H24" s="144"/>
      <c r="I24" s="112"/>
      <c r="J24" s="144"/>
      <c r="K24" s="148"/>
      <c r="L24" s="149"/>
      <c r="M24" s="144"/>
      <c r="N24" s="144"/>
      <c r="O24" s="144"/>
      <c r="P24" s="148"/>
    </row>
    <row r="25" spans="1:21" s="129" customFormat="1" ht="34.5" customHeight="1">
      <c r="A25" s="156"/>
      <c r="B25" s="170"/>
      <c r="C25" s="158" t="s">
        <v>88</v>
      </c>
      <c r="D25" s="159" t="s">
        <v>24</v>
      </c>
      <c r="E25" s="160">
        <f>1.05*E24</f>
        <v>19.425000000000001</v>
      </c>
      <c r="F25" s="167"/>
      <c r="G25" s="163"/>
      <c r="H25" s="163"/>
      <c r="I25" s="163"/>
      <c r="J25" s="163"/>
      <c r="K25" s="168"/>
      <c r="L25" s="169"/>
      <c r="M25" s="163"/>
      <c r="N25" s="163"/>
      <c r="O25" s="163"/>
      <c r="P25" s="168"/>
    </row>
    <row r="26" spans="1:21" s="129" customFormat="1" ht="11.25" customHeight="1">
      <c r="A26" s="156"/>
      <c r="B26" s="170"/>
      <c r="C26" s="171" t="s">
        <v>75</v>
      </c>
      <c r="D26" s="172" t="s">
        <v>78</v>
      </c>
      <c r="E26" s="173">
        <f>1.05*E25</f>
        <v>20.396250000000002</v>
      </c>
      <c r="F26" s="174"/>
      <c r="G26" s="175"/>
      <c r="H26" s="175"/>
      <c r="I26" s="175"/>
      <c r="J26" s="175"/>
      <c r="K26" s="176"/>
      <c r="L26" s="177"/>
      <c r="M26" s="175"/>
      <c r="N26" s="175"/>
      <c r="O26" s="175"/>
      <c r="P26" s="176"/>
    </row>
    <row r="27" spans="1:21" s="129" customFormat="1" ht="11.25" customHeight="1">
      <c r="A27" s="156"/>
      <c r="B27" s="170"/>
      <c r="C27" s="178" t="s">
        <v>89</v>
      </c>
      <c r="D27" s="159" t="s">
        <v>27</v>
      </c>
      <c r="E27" s="160">
        <f>0.3*E24/12</f>
        <v>0.46249999999999997</v>
      </c>
      <c r="F27" s="167"/>
      <c r="G27" s="163"/>
      <c r="H27" s="163"/>
      <c r="I27" s="163"/>
      <c r="J27" s="163"/>
      <c r="K27" s="168"/>
      <c r="L27" s="169"/>
      <c r="M27" s="163"/>
      <c r="N27" s="163"/>
      <c r="O27" s="163"/>
      <c r="P27" s="168"/>
    </row>
    <row r="28" spans="1:21" s="129" customFormat="1" ht="11.25" customHeight="1">
      <c r="A28" s="156"/>
      <c r="B28" s="170"/>
      <c r="C28" s="178" t="s">
        <v>90</v>
      </c>
      <c r="D28" s="159" t="s">
        <v>23</v>
      </c>
      <c r="E28" s="160">
        <f>E24/2</f>
        <v>9.25</v>
      </c>
      <c r="F28" s="167"/>
      <c r="G28" s="163"/>
      <c r="H28" s="163"/>
      <c r="I28" s="163"/>
      <c r="J28" s="163"/>
      <c r="K28" s="168"/>
      <c r="L28" s="169"/>
      <c r="M28" s="163"/>
      <c r="N28" s="163"/>
      <c r="O28" s="163"/>
      <c r="P28" s="168"/>
    </row>
    <row r="29" spans="1:21" s="197" customFormat="1">
      <c r="A29" s="486" t="s">
        <v>162</v>
      </c>
      <c r="B29" s="487"/>
      <c r="C29" s="487"/>
      <c r="D29" s="487"/>
      <c r="E29" s="488"/>
      <c r="F29" s="208"/>
      <c r="G29" s="209"/>
      <c r="H29" s="209"/>
      <c r="I29" s="209"/>
      <c r="J29" s="209"/>
      <c r="K29" s="210"/>
      <c r="L29" s="211"/>
      <c r="M29" s="211"/>
      <c r="N29" s="211"/>
      <c r="O29" s="211"/>
      <c r="P29" s="212"/>
      <c r="Q29" s="115"/>
      <c r="R29" s="115"/>
      <c r="S29" s="115"/>
      <c r="T29" s="115"/>
      <c r="U29" s="115"/>
    </row>
    <row r="30" spans="1:21" s="115" customFormat="1" ht="33.75">
      <c r="A30" s="105" t="s">
        <v>3</v>
      </c>
      <c r="B30" s="213" t="s">
        <v>25</v>
      </c>
      <c r="C30" s="199" t="s">
        <v>121</v>
      </c>
      <c r="D30" s="108" t="s">
        <v>24</v>
      </c>
      <c r="E30" s="109">
        <v>75.2</v>
      </c>
      <c r="F30" s="110"/>
      <c r="G30" s="111"/>
      <c r="H30" s="112"/>
      <c r="I30" s="112"/>
      <c r="J30" s="111"/>
      <c r="K30" s="113"/>
      <c r="L30" s="114"/>
      <c r="M30" s="112"/>
      <c r="N30" s="112"/>
      <c r="O30" s="112"/>
      <c r="P30" s="113"/>
    </row>
    <row r="31" spans="1:21" s="115" customFormat="1">
      <c r="A31" s="122"/>
      <c r="B31" s="150"/>
      <c r="C31" s="151" t="s">
        <v>75</v>
      </c>
      <c r="D31" s="123" t="s">
        <v>78</v>
      </c>
      <c r="E31" s="152">
        <f>0.95*E30</f>
        <v>71.44</v>
      </c>
      <c r="F31" s="124"/>
      <c r="G31" s="126"/>
      <c r="H31" s="126"/>
      <c r="I31" s="126"/>
      <c r="J31" s="125"/>
      <c r="K31" s="127"/>
      <c r="L31" s="128"/>
      <c r="M31" s="126"/>
      <c r="N31" s="126"/>
      <c r="O31" s="126"/>
      <c r="P31" s="127"/>
    </row>
    <row r="32" spans="1:21" s="115" customFormat="1">
      <c r="A32" s="122"/>
      <c r="B32" s="150"/>
      <c r="C32" s="153" t="s">
        <v>76</v>
      </c>
      <c r="D32" s="123" t="s">
        <v>78</v>
      </c>
      <c r="E32" s="152">
        <f>0.25*E30</f>
        <v>18.8</v>
      </c>
      <c r="F32" s="124"/>
      <c r="G32" s="126"/>
      <c r="H32" s="126"/>
      <c r="I32" s="154"/>
      <c r="J32" s="125"/>
      <c r="K32" s="127"/>
      <c r="L32" s="128"/>
      <c r="M32" s="126"/>
      <c r="N32" s="126"/>
      <c r="O32" s="126"/>
      <c r="P32" s="127"/>
    </row>
    <row r="33" spans="1:21" s="115" customFormat="1" ht="24" customHeight="1">
      <c r="A33" s="122"/>
      <c r="B33" s="150"/>
      <c r="C33" s="155" t="s">
        <v>79</v>
      </c>
      <c r="D33" s="123" t="s">
        <v>78</v>
      </c>
      <c r="E33" s="152">
        <f>E30*0.45</f>
        <v>33.840000000000003</v>
      </c>
      <c r="F33" s="124"/>
      <c r="G33" s="126"/>
      <c r="H33" s="126"/>
      <c r="I33" s="126"/>
      <c r="J33" s="125"/>
      <c r="K33" s="127"/>
      <c r="L33" s="128"/>
      <c r="M33" s="126"/>
      <c r="N33" s="126"/>
      <c r="O33" s="126"/>
      <c r="P33" s="127"/>
    </row>
    <row r="34" spans="1:21" s="115" customFormat="1" ht="22.5">
      <c r="A34" s="130" t="s">
        <v>29</v>
      </c>
      <c r="B34" s="131" t="s">
        <v>25</v>
      </c>
      <c r="C34" s="199" t="s">
        <v>99</v>
      </c>
      <c r="D34" s="133" t="s">
        <v>24</v>
      </c>
      <c r="E34" s="134">
        <v>17.600000000000001</v>
      </c>
      <c r="F34" s="200"/>
      <c r="G34" s="111"/>
      <c r="H34" s="111"/>
      <c r="I34" s="112"/>
      <c r="J34" s="111"/>
      <c r="K34" s="201"/>
      <c r="L34" s="202"/>
      <c r="M34" s="111"/>
      <c r="N34" s="111"/>
      <c r="O34" s="111"/>
      <c r="P34" s="201"/>
    </row>
    <row r="35" spans="1:21" s="115" customFormat="1">
      <c r="A35" s="156"/>
      <c r="B35" s="157"/>
      <c r="C35" s="171" t="s">
        <v>100</v>
      </c>
      <c r="D35" s="172" t="s">
        <v>78</v>
      </c>
      <c r="E35" s="173">
        <f>E34*0.47</f>
        <v>8.2720000000000002</v>
      </c>
      <c r="F35" s="203"/>
      <c r="G35" s="125"/>
      <c r="H35" s="125"/>
      <c r="I35" s="175"/>
      <c r="J35" s="125"/>
      <c r="K35" s="204"/>
      <c r="L35" s="205"/>
      <c r="M35" s="125"/>
      <c r="N35" s="125"/>
      <c r="O35" s="125"/>
      <c r="P35" s="204"/>
    </row>
    <row r="36" spans="1:21" s="198" customFormat="1" ht="11.25" customHeight="1">
      <c r="A36" s="486" t="s">
        <v>163</v>
      </c>
      <c r="B36" s="487"/>
      <c r="C36" s="487"/>
      <c r="D36" s="487"/>
      <c r="E36" s="488"/>
      <c r="F36" s="208"/>
      <c r="G36" s="209"/>
      <c r="H36" s="209"/>
      <c r="I36" s="209"/>
      <c r="J36" s="209"/>
      <c r="K36" s="210"/>
      <c r="L36" s="211"/>
      <c r="M36" s="211"/>
      <c r="N36" s="211"/>
      <c r="O36" s="211"/>
      <c r="P36" s="212"/>
      <c r="Q36" s="51"/>
      <c r="R36" s="51"/>
      <c r="S36" s="51"/>
      <c r="T36" s="51"/>
      <c r="U36" s="51"/>
    </row>
    <row r="37" spans="1:21" s="198" customFormat="1" ht="24.75" customHeight="1">
      <c r="A37" s="105" t="s">
        <v>3</v>
      </c>
      <c r="B37" s="213" t="s">
        <v>25</v>
      </c>
      <c r="C37" s="258" t="s">
        <v>164</v>
      </c>
      <c r="D37" s="108" t="s">
        <v>24</v>
      </c>
      <c r="E37" s="109">
        <v>3.1</v>
      </c>
      <c r="F37" s="110"/>
      <c r="G37" s="111"/>
      <c r="H37" s="112"/>
      <c r="I37" s="112"/>
      <c r="J37" s="111"/>
      <c r="K37" s="113"/>
      <c r="L37" s="114"/>
      <c r="M37" s="112"/>
      <c r="N37" s="112"/>
      <c r="O37" s="112"/>
      <c r="P37" s="113"/>
      <c r="Q37" s="51"/>
      <c r="R37" s="51"/>
      <c r="S37" s="51"/>
      <c r="T37" s="51"/>
      <c r="U37" s="51"/>
    </row>
    <row r="38" spans="1:21" s="198" customFormat="1" ht="11.25" customHeight="1">
      <c r="A38" s="122"/>
      <c r="B38" s="150"/>
      <c r="C38" s="151" t="s">
        <v>75</v>
      </c>
      <c r="D38" s="123" t="s">
        <v>78</v>
      </c>
      <c r="E38" s="152">
        <f>0.95*E37</f>
        <v>2.9449999999999998</v>
      </c>
      <c r="F38" s="124"/>
      <c r="G38" s="126"/>
      <c r="H38" s="126"/>
      <c r="I38" s="126"/>
      <c r="J38" s="125"/>
      <c r="K38" s="127"/>
      <c r="L38" s="128"/>
      <c r="M38" s="126"/>
      <c r="N38" s="126"/>
      <c r="O38" s="126"/>
      <c r="P38" s="127"/>
      <c r="Q38" s="51"/>
      <c r="R38" s="51"/>
      <c r="S38" s="51"/>
      <c r="T38" s="51"/>
      <c r="U38" s="51"/>
    </row>
    <row r="39" spans="1:21" s="198" customFormat="1" ht="11.25" customHeight="1">
      <c r="A39" s="122"/>
      <c r="B39" s="150"/>
      <c r="C39" s="153" t="s">
        <v>76</v>
      </c>
      <c r="D39" s="123" t="s">
        <v>78</v>
      </c>
      <c r="E39" s="152">
        <f>0.25*E37</f>
        <v>0.77500000000000002</v>
      </c>
      <c r="F39" s="124"/>
      <c r="G39" s="126"/>
      <c r="H39" s="126"/>
      <c r="I39" s="154"/>
      <c r="J39" s="125"/>
      <c r="K39" s="127"/>
      <c r="L39" s="128"/>
      <c r="M39" s="126"/>
      <c r="N39" s="126"/>
      <c r="O39" s="126"/>
      <c r="P39" s="127"/>
      <c r="Q39" s="51"/>
      <c r="R39" s="51"/>
      <c r="S39" s="51"/>
      <c r="T39" s="51"/>
      <c r="U39" s="51"/>
    </row>
    <row r="40" spans="1:21" s="198" customFormat="1" ht="24" customHeight="1">
      <c r="A40" s="122"/>
      <c r="B40" s="150"/>
      <c r="C40" s="256" t="s">
        <v>79</v>
      </c>
      <c r="D40" s="123" t="s">
        <v>78</v>
      </c>
      <c r="E40" s="152">
        <f>E37*0.45</f>
        <v>1.395</v>
      </c>
      <c r="F40" s="124"/>
      <c r="G40" s="126"/>
      <c r="H40" s="126"/>
      <c r="I40" s="126"/>
      <c r="J40" s="125"/>
      <c r="K40" s="127"/>
      <c r="L40" s="128"/>
      <c r="M40" s="126"/>
      <c r="N40" s="126"/>
      <c r="O40" s="126"/>
      <c r="P40" s="127"/>
      <c r="Q40" s="51"/>
      <c r="R40" s="51"/>
      <c r="S40" s="51"/>
      <c r="T40" s="51"/>
      <c r="U40" s="51"/>
    </row>
    <row r="41" spans="1:21" s="115" customFormat="1" ht="12" thickBot="1">
      <c r="A41" s="492" t="s">
        <v>2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4"/>
      <c r="L41" s="179">
        <f>SUM(L14:L40)</f>
        <v>0</v>
      </c>
      <c r="M41" s="179">
        <f>SUM(M14:M40)</f>
        <v>0</v>
      </c>
      <c r="N41" s="180"/>
      <c r="O41" s="179">
        <f>SUM(O14:O40)</f>
        <v>0</v>
      </c>
      <c r="P41" s="181">
        <f>SUM(P14:P40)</f>
        <v>0</v>
      </c>
    </row>
    <row r="42" spans="1:21" s="115" customFormat="1" ht="12" thickBot="1">
      <c r="A42" s="489" t="s">
        <v>261</v>
      </c>
      <c r="B42" s="490"/>
      <c r="C42" s="490"/>
      <c r="D42" s="490"/>
      <c r="E42" s="490"/>
      <c r="F42" s="490"/>
      <c r="G42" s="490"/>
      <c r="H42" s="490"/>
      <c r="I42" s="490"/>
      <c r="J42" s="490"/>
      <c r="K42" s="491"/>
      <c r="L42" s="182"/>
      <c r="M42" s="183"/>
      <c r="N42" s="184"/>
      <c r="O42" s="183"/>
      <c r="P42" s="185">
        <f>0.1*N41</f>
        <v>0</v>
      </c>
    </row>
    <row r="43" spans="1:21" s="115" customFormat="1" ht="12" thickBot="1">
      <c r="A43" s="489" t="s">
        <v>2</v>
      </c>
      <c r="B43" s="490"/>
      <c r="C43" s="490"/>
      <c r="D43" s="490"/>
      <c r="E43" s="490"/>
      <c r="F43" s="490"/>
      <c r="G43" s="490"/>
      <c r="H43" s="490"/>
      <c r="I43" s="490"/>
      <c r="J43" s="490"/>
      <c r="K43" s="491"/>
      <c r="L43" s="186">
        <f>SUM(L41:L42)</f>
        <v>0</v>
      </c>
      <c r="M43" s="187">
        <f>SUM(M41:M42)</f>
        <v>0</v>
      </c>
      <c r="N43" s="187">
        <f>SUM(N41:N42)</f>
        <v>0</v>
      </c>
      <c r="O43" s="187">
        <f>SUM(O41:O42)</f>
        <v>0</v>
      </c>
      <c r="P43" s="188">
        <f>SUM(P41:P42)</f>
        <v>0</v>
      </c>
    </row>
    <row r="44" spans="1:21" s="115" customForma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90"/>
      <c r="M44" s="190"/>
      <c r="N44" s="190"/>
      <c r="O44" s="190"/>
      <c r="P44" s="190"/>
    </row>
    <row r="45" spans="1:21" s="115" customForma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90"/>
      <c r="M45" s="190"/>
      <c r="N45" s="190"/>
      <c r="O45" s="190"/>
      <c r="P45" s="190"/>
    </row>
    <row r="46" spans="1:21" s="115" customForma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90"/>
      <c r="M46" s="190"/>
      <c r="N46" s="190"/>
      <c r="O46" s="190"/>
      <c r="P46" s="190"/>
    </row>
    <row r="47" spans="1:21" s="115" customFormat="1" ht="12.75">
      <c r="B47" s="191"/>
      <c r="H47" s="192"/>
      <c r="I47" s="193"/>
    </row>
    <row r="48" spans="1:21" s="115" customFormat="1" ht="12.75">
      <c r="H48" s="194"/>
      <c r="O48" s="195"/>
      <c r="R48" s="196"/>
    </row>
    <row r="49" s="115" customFormat="1"/>
  </sheetData>
  <mergeCells count="20"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A36:E36"/>
    <mergeCell ref="A41:K41"/>
    <mergeCell ref="A42:K42"/>
    <mergeCell ref="A43:K43"/>
    <mergeCell ref="L12:P12"/>
    <mergeCell ref="A14:E14"/>
    <mergeCell ref="F14:K14"/>
    <mergeCell ref="L14:P14"/>
    <mergeCell ref="A15:E15"/>
    <mergeCell ref="A29:E29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70"/>
  <sheetViews>
    <sheetView showZeros="0" topLeftCell="A7" zoomScale="145" zoomScaleNormal="145" workbookViewId="0">
      <selection activeCell="E68" sqref="E68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165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'O1'!B24</f>
        <v>Telpu remonts 6.grupa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20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71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166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73.400000000000006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69.73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18.350000000000001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33.03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29" customFormat="1" ht="23.25" customHeight="1">
      <c r="A20" s="130" t="s">
        <v>29</v>
      </c>
      <c r="B20" s="131" t="s">
        <v>25</v>
      </c>
      <c r="C20" s="132" t="s">
        <v>83</v>
      </c>
      <c r="D20" s="133" t="s">
        <v>23</v>
      </c>
      <c r="E20" s="134">
        <v>27.7</v>
      </c>
      <c r="F20" s="135"/>
      <c r="G20" s="111"/>
      <c r="H20" s="136"/>
      <c r="I20" s="112"/>
      <c r="J20" s="136"/>
      <c r="K20" s="137"/>
      <c r="L20" s="138"/>
      <c r="M20" s="136"/>
      <c r="N20" s="136"/>
      <c r="O20" s="136"/>
      <c r="P20" s="137"/>
    </row>
    <row r="21" spans="1:21" s="129" customFormat="1" ht="11.25" customHeight="1">
      <c r="A21" s="130" t="s">
        <v>47</v>
      </c>
      <c r="B21" s="131" t="s">
        <v>25</v>
      </c>
      <c r="C21" s="132" t="s">
        <v>84</v>
      </c>
      <c r="D21" s="133" t="s">
        <v>24</v>
      </c>
      <c r="E21" s="134">
        <v>21.4</v>
      </c>
      <c r="F21" s="135"/>
      <c r="G21" s="111"/>
      <c r="H21" s="136"/>
      <c r="I21" s="136"/>
      <c r="J21" s="136"/>
      <c r="K21" s="137"/>
      <c r="L21" s="138"/>
      <c r="M21" s="136"/>
      <c r="N21" s="136"/>
      <c r="O21" s="136"/>
      <c r="P21" s="137"/>
    </row>
    <row r="22" spans="1:21" s="129" customFormat="1" ht="23.25" customHeight="1">
      <c r="A22" s="130" t="s">
        <v>48</v>
      </c>
      <c r="B22" s="131" t="s">
        <v>25</v>
      </c>
      <c r="C22" s="107" t="s">
        <v>91</v>
      </c>
      <c r="D22" s="139" t="s">
        <v>24</v>
      </c>
      <c r="E22" s="134">
        <v>21.4</v>
      </c>
      <c r="F22" s="140"/>
      <c r="G22" s="141"/>
      <c r="H22" s="141"/>
      <c r="I22" s="112"/>
      <c r="J22" s="141"/>
      <c r="K22" s="142"/>
      <c r="L22" s="143"/>
      <c r="M22" s="141"/>
      <c r="N22" s="141"/>
      <c r="O22" s="141"/>
      <c r="P22" s="142"/>
    </row>
    <row r="23" spans="1:21" s="129" customFormat="1" ht="24" customHeight="1">
      <c r="A23" s="156"/>
      <c r="B23" s="157"/>
      <c r="C23" s="254" t="s">
        <v>85</v>
      </c>
      <c r="D23" s="159" t="s">
        <v>28</v>
      </c>
      <c r="E23" s="160">
        <v>12</v>
      </c>
      <c r="F23" s="161"/>
      <c r="G23" s="162"/>
      <c r="H23" s="162"/>
      <c r="I23" s="163"/>
      <c r="J23" s="162"/>
      <c r="K23" s="164"/>
      <c r="L23" s="165"/>
      <c r="M23" s="162"/>
      <c r="N23" s="162"/>
      <c r="O23" s="162"/>
      <c r="P23" s="164"/>
    </row>
    <row r="24" spans="1:21" s="129" customFormat="1" ht="23.25" customHeight="1">
      <c r="A24" s="130" t="s">
        <v>70</v>
      </c>
      <c r="B24" s="257" t="s">
        <v>86</v>
      </c>
      <c r="C24" s="146" t="s">
        <v>87</v>
      </c>
      <c r="D24" s="139" t="s">
        <v>24</v>
      </c>
      <c r="E24" s="134">
        <v>21.4</v>
      </c>
      <c r="F24" s="147"/>
      <c r="G24" s="141"/>
      <c r="H24" s="144"/>
      <c r="I24" s="112"/>
      <c r="J24" s="144"/>
      <c r="K24" s="148"/>
      <c r="L24" s="149"/>
      <c r="M24" s="144"/>
      <c r="N24" s="144"/>
      <c r="O24" s="144"/>
      <c r="P24" s="148"/>
    </row>
    <row r="25" spans="1:21" s="129" customFormat="1" ht="34.5" customHeight="1">
      <c r="A25" s="156"/>
      <c r="B25" s="170"/>
      <c r="C25" s="158" t="s">
        <v>88</v>
      </c>
      <c r="D25" s="159" t="s">
        <v>24</v>
      </c>
      <c r="E25" s="160">
        <f>1.05*E24</f>
        <v>22.47</v>
      </c>
      <c r="F25" s="167"/>
      <c r="G25" s="163"/>
      <c r="H25" s="163"/>
      <c r="I25" s="163"/>
      <c r="J25" s="163"/>
      <c r="K25" s="168"/>
      <c r="L25" s="169"/>
      <c r="M25" s="163"/>
      <c r="N25" s="163"/>
      <c r="O25" s="163"/>
      <c r="P25" s="168"/>
    </row>
    <row r="26" spans="1:21" s="129" customFormat="1" ht="11.25" customHeight="1">
      <c r="A26" s="156"/>
      <c r="B26" s="170"/>
      <c r="C26" s="171" t="s">
        <v>75</v>
      </c>
      <c r="D26" s="172" t="s">
        <v>78</v>
      </c>
      <c r="E26" s="173">
        <f>1.05*E25</f>
        <v>23.593499999999999</v>
      </c>
      <c r="F26" s="174"/>
      <c r="G26" s="175"/>
      <c r="H26" s="175"/>
      <c r="I26" s="175"/>
      <c r="J26" s="175"/>
      <c r="K26" s="176"/>
      <c r="L26" s="177"/>
      <c r="M26" s="175"/>
      <c r="N26" s="175"/>
      <c r="O26" s="175"/>
      <c r="P26" s="176"/>
    </row>
    <row r="27" spans="1:21" s="129" customFormat="1" ht="11.25" customHeight="1">
      <c r="A27" s="156"/>
      <c r="B27" s="170"/>
      <c r="C27" s="178" t="s">
        <v>89</v>
      </c>
      <c r="D27" s="159" t="s">
        <v>27</v>
      </c>
      <c r="E27" s="160">
        <f>0.3*E24/12</f>
        <v>0.53499999999999992</v>
      </c>
      <c r="F27" s="167"/>
      <c r="G27" s="163"/>
      <c r="H27" s="163"/>
      <c r="I27" s="163"/>
      <c r="J27" s="163"/>
      <c r="K27" s="168"/>
      <c r="L27" s="169"/>
      <c r="M27" s="163"/>
      <c r="N27" s="163"/>
      <c r="O27" s="163"/>
      <c r="P27" s="168"/>
    </row>
    <row r="28" spans="1:21" s="129" customFormat="1" ht="11.25" customHeight="1">
      <c r="A28" s="156"/>
      <c r="B28" s="170"/>
      <c r="C28" s="178" t="s">
        <v>90</v>
      </c>
      <c r="D28" s="159" t="s">
        <v>23</v>
      </c>
      <c r="E28" s="160">
        <f>E24/2</f>
        <v>10.7</v>
      </c>
      <c r="F28" s="167"/>
      <c r="G28" s="163"/>
      <c r="H28" s="163"/>
      <c r="I28" s="163"/>
      <c r="J28" s="163"/>
      <c r="K28" s="168"/>
      <c r="L28" s="169"/>
      <c r="M28" s="163"/>
      <c r="N28" s="163"/>
      <c r="O28" s="163"/>
      <c r="P28" s="168"/>
    </row>
    <row r="29" spans="1:21" s="197" customFormat="1">
      <c r="A29" s="486" t="s">
        <v>167</v>
      </c>
      <c r="B29" s="487"/>
      <c r="C29" s="487"/>
      <c r="D29" s="487"/>
      <c r="E29" s="488"/>
      <c r="F29" s="208"/>
      <c r="G29" s="209"/>
      <c r="H29" s="209"/>
      <c r="I29" s="209"/>
      <c r="J29" s="209"/>
      <c r="K29" s="210"/>
      <c r="L29" s="211"/>
      <c r="M29" s="211"/>
      <c r="N29" s="211"/>
      <c r="O29" s="211"/>
      <c r="P29" s="212"/>
      <c r="Q29" s="115"/>
      <c r="R29" s="115"/>
      <c r="S29" s="115"/>
      <c r="T29" s="115"/>
      <c r="U29" s="115"/>
    </row>
    <row r="30" spans="1:21" s="115" customFormat="1" ht="22.5">
      <c r="A30" s="130" t="s">
        <v>3</v>
      </c>
      <c r="B30" s="131" t="s">
        <v>25</v>
      </c>
      <c r="C30" s="132" t="s">
        <v>83</v>
      </c>
      <c r="D30" s="133" t="s">
        <v>23</v>
      </c>
      <c r="E30" s="134">
        <v>28.1</v>
      </c>
      <c r="F30" s="135"/>
      <c r="G30" s="111"/>
      <c r="H30" s="136"/>
      <c r="I30" s="112"/>
      <c r="J30" s="136"/>
      <c r="K30" s="137"/>
      <c r="L30" s="138"/>
      <c r="M30" s="136"/>
      <c r="N30" s="136"/>
      <c r="O30" s="136"/>
      <c r="P30" s="137"/>
    </row>
    <row r="31" spans="1:21" s="115" customFormat="1">
      <c r="A31" s="130" t="s">
        <v>29</v>
      </c>
      <c r="B31" s="131" t="s">
        <v>25</v>
      </c>
      <c r="C31" s="132" t="s">
        <v>84</v>
      </c>
      <c r="D31" s="133" t="s">
        <v>24</v>
      </c>
      <c r="E31" s="134">
        <v>50.7</v>
      </c>
      <c r="F31" s="135"/>
      <c r="G31" s="111"/>
      <c r="H31" s="136"/>
      <c r="I31" s="136"/>
      <c r="J31" s="136"/>
      <c r="K31" s="137"/>
      <c r="L31" s="138"/>
      <c r="M31" s="136"/>
      <c r="N31" s="136"/>
      <c r="O31" s="136"/>
      <c r="P31" s="137"/>
    </row>
    <row r="32" spans="1:21" s="115" customFormat="1" ht="22.5">
      <c r="A32" s="130" t="s">
        <v>47</v>
      </c>
      <c r="B32" s="131" t="s">
        <v>25</v>
      </c>
      <c r="C32" s="107" t="s">
        <v>91</v>
      </c>
      <c r="D32" s="139" t="s">
        <v>24</v>
      </c>
      <c r="E32" s="134">
        <v>50.7</v>
      </c>
      <c r="F32" s="140"/>
      <c r="G32" s="141"/>
      <c r="H32" s="141"/>
      <c r="I32" s="112"/>
      <c r="J32" s="141"/>
      <c r="K32" s="142"/>
      <c r="L32" s="143"/>
      <c r="M32" s="141"/>
      <c r="N32" s="141"/>
      <c r="O32" s="141"/>
      <c r="P32" s="142"/>
    </row>
    <row r="33" spans="1:16" s="115" customFormat="1" ht="22.5">
      <c r="A33" s="156"/>
      <c r="B33" s="157"/>
      <c r="C33" s="254" t="s">
        <v>85</v>
      </c>
      <c r="D33" s="159" t="s">
        <v>28</v>
      </c>
      <c r="E33" s="160">
        <v>12</v>
      </c>
      <c r="F33" s="161"/>
      <c r="G33" s="162"/>
      <c r="H33" s="162"/>
      <c r="I33" s="163"/>
      <c r="J33" s="162"/>
      <c r="K33" s="164"/>
      <c r="L33" s="165"/>
      <c r="M33" s="162"/>
      <c r="N33" s="162"/>
      <c r="O33" s="162"/>
      <c r="P33" s="164"/>
    </row>
    <row r="34" spans="1:16" s="115" customFormat="1" ht="22.5">
      <c r="A34" s="130" t="s">
        <v>48</v>
      </c>
      <c r="B34" s="257" t="s">
        <v>86</v>
      </c>
      <c r="C34" s="146" t="s">
        <v>87</v>
      </c>
      <c r="D34" s="139" t="s">
        <v>24</v>
      </c>
      <c r="E34" s="134">
        <v>50.7</v>
      </c>
      <c r="F34" s="147"/>
      <c r="G34" s="141"/>
      <c r="H34" s="144"/>
      <c r="I34" s="112"/>
      <c r="J34" s="144"/>
      <c r="K34" s="148"/>
      <c r="L34" s="149"/>
      <c r="M34" s="144"/>
      <c r="N34" s="144"/>
      <c r="O34" s="144"/>
      <c r="P34" s="148"/>
    </row>
    <row r="35" spans="1:16" s="115" customFormat="1" ht="33.75">
      <c r="A35" s="156"/>
      <c r="B35" s="170"/>
      <c r="C35" s="158" t="s">
        <v>88</v>
      </c>
      <c r="D35" s="159" t="s">
        <v>24</v>
      </c>
      <c r="E35" s="160">
        <f>1.05*E34</f>
        <v>53.235000000000007</v>
      </c>
      <c r="F35" s="167"/>
      <c r="G35" s="163"/>
      <c r="H35" s="163"/>
      <c r="I35" s="163"/>
      <c r="J35" s="163"/>
      <c r="K35" s="168"/>
      <c r="L35" s="169"/>
      <c r="M35" s="163"/>
      <c r="N35" s="163"/>
      <c r="O35" s="163"/>
      <c r="P35" s="168"/>
    </row>
    <row r="36" spans="1:16" s="115" customFormat="1">
      <c r="A36" s="156"/>
      <c r="B36" s="170"/>
      <c r="C36" s="171" t="s">
        <v>75</v>
      </c>
      <c r="D36" s="172" t="s">
        <v>78</v>
      </c>
      <c r="E36" s="173">
        <f>1.05*E35</f>
        <v>55.896750000000011</v>
      </c>
      <c r="F36" s="174"/>
      <c r="G36" s="175"/>
      <c r="H36" s="175"/>
      <c r="I36" s="175"/>
      <c r="J36" s="175"/>
      <c r="K36" s="176"/>
      <c r="L36" s="177"/>
      <c r="M36" s="175"/>
      <c r="N36" s="175"/>
      <c r="O36" s="175"/>
      <c r="P36" s="176"/>
    </row>
    <row r="37" spans="1:16" s="115" customFormat="1">
      <c r="A37" s="156"/>
      <c r="B37" s="170"/>
      <c r="C37" s="178" t="s">
        <v>89</v>
      </c>
      <c r="D37" s="159" t="s">
        <v>27</v>
      </c>
      <c r="E37" s="160">
        <f>0.3*E34/12</f>
        <v>1.2675000000000001</v>
      </c>
      <c r="F37" s="167"/>
      <c r="G37" s="163"/>
      <c r="H37" s="163"/>
      <c r="I37" s="163"/>
      <c r="J37" s="163"/>
      <c r="K37" s="168"/>
      <c r="L37" s="169"/>
      <c r="M37" s="163"/>
      <c r="N37" s="163"/>
      <c r="O37" s="163"/>
      <c r="P37" s="168"/>
    </row>
    <row r="38" spans="1:16" s="115" customFormat="1">
      <c r="A38" s="156"/>
      <c r="B38" s="170"/>
      <c r="C38" s="178" t="s">
        <v>90</v>
      </c>
      <c r="D38" s="159" t="s">
        <v>23</v>
      </c>
      <c r="E38" s="160">
        <f>E34/2</f>
        <v>25.35</v>
      </c>
      <c r="F38" s="167"/>
      <c r="G38" s="163"/>
      <c r="H38" s="163"/>
      <c r="I38" s="163"/>
      <c r="J38" s="163"/>
      <c r="K38" s="168"/>
      <c r="L38" s="169"/>
      <c r="M38" s="163"/>
      <c r="N38" s="163"/>
      <c r="O38" s="163"/>
      <c r="P38" s="168"/>
    </row>
    <row r="39" spans="1:16" s="115" customFormat="1" ht="25.5" customHeight="1">
      <c r="A39" s="130" t="s">
        <v>29</v>
      </c>
      <c r="B39" s="131" t="s">
        <v>25</v>
      </c>
      <c r="C39" s="199" t="s">
        <v>179</v>
      </c>
      <c r="D39" s="133" t="s">
        <v>24</v>
      </c>
      <c r="E39" s="134">
        <v>15.4</v>
      </c>
      <c r="F39" s="200"/>
      <c r="G39" s="111"/>
      <c r="H39" s="111"/>
      <c r="I39" s="112"/>
      <c r="J39" s="111"/>
      <c r="K39" s="201"/>
      <c r="L39" s="202"/>
      <c r="M39" s="111"/>
      <c r="N39" s="111"/>
      <c r="O39" s="111"/>
      <c r="P39" s="201"/>
    </row>
    <row r="40" spans="1:16" s="115" customFormat="1" ht="12.75" customHeight="1">
      <c r="A40" s="156"/>
      <c r="B40" s="157"/>
      <c r="C40" s="171" t="s">
        <v>100</v>
      </c>
      <c r="D40" s="172" t="s">
        <v>78</v>
      </c>
      <c r="E40" s="173">
        <f>E39*0.47</f>
        <v>7.2379999999999995</v>
      </c>
      <c r="F40" s="203"/>
      <c r="G40" s="125"/>
      <c r="H40" s="125"/>
      <c r="I40" s="175"/>
      <c r="J40" s="125"/>
      <c r="K40" s="204"/>
      <c r="L40" s="205"/>
      <c r="M40" s="125"/>
      <c r="N40" s="125"/>
      <c r="O40" s="125"/>
      <c r="P40" s="204"/>
    </row>
    <row r="41" spans="1:16" s="115" customFormat="1">
      <c r="A41" s="486" t="s">
        <v>157</v>
      </c>
      <c r="B41" s="487"/>
      <c r="C41" s="487"/>
      <c r="D41" s="487"/>
      <c r="E41" s="488"/>
      <c r="F41" s="208"/>
      <c r="G41" s="209"/>
      <c r="H41" s="209"/>
      <c r="I41" s="209"/>
      <c r="J41" s="209"/>
      <c r="K41" s="210"/>
      <c r="L41" s="211"/>
      <c r="M41" s="211"/>
      <c r="N41" s="211"/>
      <c r="O41" s="211"/>
      <c r="P41" s="212"/>
    </row>
    <row r="42" spans="1:16" s="115" customFormat="1" ht="33.75">
      <c r="A42" s="105" t="s">
        <v>3</v>
      </c>
      <c r="B42" s="213" t="s">
        <v>25</v>
      </c>
      <c r="C42" s="199" t="s">
        <v>121</v>
      </c>
      <c r="D42" s="108" t="s">
        <v>24</v>
      </c>
      <c r="E42" s="109">
        <v>14.5</v>
      </c>
      <c r="F42" s="110"/>
      <c r="G42" s="111"/>
      <c r="H42" s="112"/>
      <c r="I42" s="112"/>
      <c r="J42" s="111"/>
      <c r="K42" s="113"/>
      <c r="L42" s="114"/>
      <c r="M42" s="112"/>
      <c r="N42" s="112"/>
      <c r="O42" s="112"/>
      <c r="P42" s="113"/>
    </row>
    <row r="43" spans="1:16" s="115" customFormat="1">
      <c r="A43" s="122"/>
      <c r="B43" s="150"/>
      <c r="C43" s="151" t="s">
        <v>75</v>
      </c>
      <c r="D43" s="123" t="s">
        <v>78</v>
      </c>
      <c r="E43" s="152">
        <f>0.95*E42</f>
        <v>13.774999999999999</v>
      </c>
      <c r="F43" s="124"/>
      <c r="G43" s="126"/>
      <c r="H43" s="126"/>
      <c r="I43" s="126"/>
      <c r="J43" s="125"/>
      <c r="K43" s="127"/>
      <c r="L43" s="128"/>
      <c r="M43" s="126"/>
      <c r="N43" s="126"/>
      <c r="O43" s="126"/>
      <c r="P43" s="127"/>
    </row>
    <row r="44" spans="1:16" s="115" customFormat="1">
      <c r="A44" s="122"/>
      <c r="B44" s="150"/>
      <c r="C44" s="153" t="s">
        <v>76</v>
      </c>
      <c r="D44" s="123" t="s">
        <v>78</v>
      </c>
      <c r="E44" s="152">
        <f>0.25*E42</f>
        <v>3.625</v>
      </c>
      <c r="F44" s="124"/>
      <c r="G44" s="126"/>
      <c r="H44" s="126"/>
      <c r="I44" s="154"/>
      <c r="J44" s="125"/>
      <c r="K44" s="127"/>
      <c r="L44" s="128"/>
      <c r="M44" s="126"/>
      <c r="N44" s="126"/>
      <c r="O44" s="126"/>
      <c r="P44" s="127"/>
    </row>
    <row r="45" spans="1:16" s="115" customFormat="1" ht="26.25" customHeight="1">
      <c r="A45" s="122"/>
      <c r="B45" s="150"/>
      <c r="C45" s="256" t="s">
        <v>79</v>
      </c>
      <c r="D45" s="123" t="s">
        <v>78</v>
      </c>
      <c r="E45" s="152">
        <f>E42*0.45</f>
        <v>6.5250000000000004</v>
      </c>
      <c r="F45" s="124"/>
      <c r="G45" s="126"/>
      <c r="H45" s="126"/>
      <c r="I45" s="126"/>
      <c r="J45" s="125"/>
      <c r="K45" s="127"/>
      <c r="L45" s="128"/>
      <c r="M45" s="126"/>
      <c r="N45" s="126"/>
      <c r="O45" s="126"/>
      <c r="P45" s="127"/>
    </row>
    <row r="46" spans="1:16" s="115" customFormat="1" ht="22.5">
      <c r="A46" s="130" t="s">
        <v>29</v>
      </c>
      <c r="B46" s="131" t="s">
        <v>25</v>
      </c>
      <c r="C46" s="132" t="s">
        <v>83</v>
      </c>
      <c r="D46" s="133" t="s">
        <v>23</v>
      </c>
      <c r="E46" s="134">
        <v>13</v>
      </c>
      <c r="F46" s="135"/>
      <c r="G46" s="111"/>
      <c r="H46" s="136"/>
      <c r="I46" s="112"/>
      <c r="J46" s="136"/>
      <c r="K46" s="137"/>
      <c r="L46" s="138"/>
      <c r="M46" s="136"/>
      <c r="N46" s="136"/>
      <c r="O46" s="136"/>
      <c r="P46" s="137"/>
    </row>
    <row r="47" spans="1:16" s="115" customFormat="1" ht="13.5" customHeight="1">
      <c r="A47" s="130" t="s">
        <v>47</v>
      </c>
      <c r="B47" s="131" t="s">
        <v>25</v>
      </c>
      <c r="C47" s="132" t="s">
        <v>84</v>
      </c>
      <c r="D47" s="133" t="s">
        <v>24</v>
      </c>
      <c r="E47" s="134">
        <v>10.199999999999999</v>
      </c>
      <c r="F47" s="135"/>
      <c r="G47" s="111"/>
      <c r="H47" s="136"/>
      <c r="I47" s="136"/>
      <c r="J47" s="136"/>
      <c r="K47" s="137"/>
      <c r="L47" s="138"/>
      <c r="M47" s="136"/>
      <c r="N47" s="136"/>
      <c r="O47" s="136"/>
      <c r="P47" s="137"/>
    </row>
    <row r="48" spans="1:16" s="115" customFormat="1" ht="11.25" customHeight="1">
      <c r="A48" s="130" t="s">
        <v>48</v>
      </c>
      <c r="B48" s="131" t="s">
        <v>25</v>
      </c>
      <c r="C48" s="107" t="s">
        <v>91</v>
      </c>
      <c r="D48" s="139" t="s">
        <v>24</v>
      </c>
      <c r="E48" s="134">
        <v>10.199999999999999</v>
      </c>
      <c r="F48" s="140"/>
      <c r="G48" s="141"/>
      <c r="H48" s="141"/>
      <c r="I48" s="112"/>
      <c r="J48" s="141"/>
      <c r="K48" s="142"/>
      <c r="L48" s="143"/>
      <c r="M48" s="141"/>
      <c r="N48" s="141"/>
      <c r="O48" s="141"/>
      <c r="P48" s="142"/>
    </row>
    <row r="49" spans="1:21" s="115" customFormat="1" ht="22.5" customHeight="1">
      <c r="A49" s="156"/>
      <c r="B49" s="157"/>
      <c r="C49" s="254" t="s">
        <v>85</v>
      </c>
      <c r="D49" s="159" t="s">
        <v>28</v>
      </c>
      <c r="E49" s="160">
        <v>12</v>
      </c>
      <c r="F49" s="161"/>
      <c r="G49" s="162"/>
      <c r="H49" s="162"/>
      <c r="I49" s="163"/>
      <c r="J49" s="162"/>
      <c r="K49" s="164"/>
      <c r="L49" s="165"/>
      <c r="M49" s="162"/>
      <c r="N49" s="162"/>
      <c r="O49" s="162"/>
      <c r="P49" s="164"/>
    </row>
    <row r="50" spans="1:21" s="115" customFormat="1" ht="22.5" customHeight="1">
      <c r="A50" s="130" t="s">
        <v>70</v>
      </c>
      <c r="B50" s="257" t="s">
        <v>86</v>
      </c>
      <c r="C50" s="146" t="s">
        <v>87</v>
      </c>
      <c r="D50" s="139" t="s">
        <v>24</v>
      </c>
      <c r="E50" s="134">
        <v>10.199999999999999</v>
      </c>
      <c r="F50" s="147"/>
      <c r="G50" s="141"/>
      <c r="H50" s="144"/>
      <c r="I50" s="112"/>
      <c r="J50" s="144"/>
      <c r="K50" s="148"/>
      <c r="L50" s="149"/>
      <c r="M50" s="144"/>
      <c r="N50" s="144"/>
      <c r="O50" s="144"/>
      <c r="P50" s="148"/>
    </row>
    <row r="51" spans="1:21" s="115" customFormat="1" ht="11.25" customHeight="1">
      <c r="A51" s="156"/>
      <c r="B51" s="170"/>
      <c r="C51" s="158" t="s">
        <v>88</v>
      </c>
      <c r="D51" s="159" t="s">
        <v>24</v>
      </c>
      <c r="E51" s="160">
        <f>1.05*E50</f>
        <v>10.709999999999999</v>
      </c>
      <c r="F51" s="167"/>
      <c r="G51" s="163"/>
      <c r="H51" s="163"/>
      <c r="I51" s="163"/>
      <c r="J51" s="163"/>
      <c r="K51" s="168"/>
      <c r="L51" s="169"/>
      <c r="M51" s="163"/>
      <c r="N51" s="163"/>
      <c r="O51" s="163"/>
      <c r="P51" s="168"/>
    </row>
    <row r="52" spans="1:21" s="115" customFormat="1" ht="11.25" customHeight="1">
      <c r="A52" s="156"/>
      <c r="B52" s="170"/>
      <c r="C52" s="171" t="s">
        <v>75</v>
      </c>
      <c r="D52" s="172" t="s">
        <v>78</v>
      </c>
      <c r="E52" s="173">
        <f>1.05*E51</f>
        <v>11.2455</v>
      </c>
      <c r="F52" s="174"/>
      <c r="G52" s="175"/>
      <c r="H52" s="175"/>
      <c r="I52" s="175"/>
      <c r="J52" s="175"/>
      <c r="K52" s="176"/>
      <c r="L52" s="177"/>
      <c r="M52" s="175"/>
      <c r="N52" s="175"/>
      <c r="O52" s="175"/>
      <c r="P52" s="176"/>
    </row>
    <row r="53" spans="1:21" s="115" customFormat="1" ht="11.25" customHeight="1">
      <c r="A53" s="156"/>
      <c r="B53" s="170"/>
      <c r="C53" s="178" t="s">
        <v>89</v>
      </c>
      <c r="D53" s="159" t="s">
        <v>27</v>
      </c>
      <c r="E53" s="160">
        <f>0.3*E50/12</f>
        <v>0.25499999999999995</v>
      </c>
      <c r="F53" s="167"/>
      <c r="G53" s="163"/>
      <c r="H53" s="163"/>
      <c r="I53" s="163"/>
      <c r="J53" s="163"/>
      <c r="K53" s="168"/>
      <c r="L53" s="169"/>
      <c r="M53" s="163"/>
      <c r="N53" s="163"/>
      <c r="O53" s="163"/>
      <c r="P53" s="168"/>
    </row>
    <row r="54" spans="1:21" s="115" customFormat="1" ht="11.25" customHeight="1">
      <c r="A54" s="156"/>
      <c r="B54" s="170"/>
      <c r="C54" s="178" t="s">
        <v>90</v>
      </c>
      <c r="D54" s="159" t="s">
        <v>23</v>
      </c>
      <c r="E54" s="160">
        <f>E50/2</f>
        <v>5.0999999999999996</v>
      </c>
      <c r="F54" s="167"/>
      <c r="G54" s="163"/>
      <c r="H54" s="163"/>
      <c r="I54" s="163"/>
      <c r="J54" s="163"/>
      <c r="K54" s="168"/>
      <c r="L54" s="169"/>
      <c r="M54" s="163"/>
      <c r="N54" s="163"/>
      <c r="O54" s="163"/>
      <c r="P54" s="168"/>
    </row>
    <row r="55" spans="1:21" s="198" customFormat="1" ht="11.25" customHeight="1">
      <c r="A55" s="486" t="s">
        <v>168</v>
      </c>
      <c r="B55" s="487"/>
      <c r="C55" s="487"/>
      <c r="D55" s="487"/>
      <c r="E55" s="488"/>
      <c r="F55" s="208"/>
      <c r="G55" s="209"/>
      <c r="H55" s="209"/>
      <c r="I55" s="209"/>
      <c r="J55" s="209"/>
      <c r="K55" s="210"/>
      <c r="L55" s="211"/>
      <c r="M55" s="211"/>
      <c r="N55" s="211"/>
      <c r="O55" s="211"/>
      <c r="P55" s="212"/>
      <c r="Q55" s="51"/>
      <c r="R55" s="51"/>
      <c r="S55" s="51"/>
      <c r="T55" s="51"/>
      <c r="U55" s="51"/>
    </row>
    <row r="56" spans="1:21" s="198" customFormat="1" ht="22.5" customHeight="1">
      <c r="A56" s="277">
        <v>1</v>
      </c>
      <c r="B56" s="278" t="s">
        <v>67</v>
      </c>
      <c r="C56" s="279" t="s">
        <v>178</v>
      </c>
      <c r="D56" s="235" t="s">
        <v>24</v>
      </c>
      <c r="E56" s="273">
        <v>1.5</v>
      </c>
      <c r="F56" s="274"/>
      <c r="G56" s="242"/>
      <c r="H56" s="242"/>
      <c r="I56" s="242"/>
      <c r="J56" s="242"/>
      <c r="K56" s="275"/>
      <c r="L56" s="276"/>
      <c r="M56" s="242"/>
      <c r="N56" s="242"/>
      <c r="O56" s="242"/>
      <c r="P56" s="275"/>
      <c r="Q56" s="51"/>
      <c r="R56" s="51"/>
      <c r="S56" s="51"/>
      <c r="T56" s="51"/>
      <c r="U56" s="51"/>
    </row>
    <row r="57" spans="1:21" s="285" customFormat="1" ht="36" customHeight="1">
      <c r="A57" s="286"/>
      <c r="B57" s="264"/>
      <c r="C57" s="245" t="s">
        <v>65</v>
      </c>
      <c r="D57" s="246" t="s">
        <v>26</v>
      </c>
      <c r="E57" s="247">
        <v>2</v>
      </c>
      <c r="F57" s="280"/>
      <c r="G57" s="281"/>
      <c r="H57" s="281"/>
      <c r="I57" s="249"/>
      <c r="J57" s="281"/>
      <c r="K57" s="282"/>
      <c r="L57" s="283"/>
      <c r="M57" s="281"/>
      <c r="N57" s="281"/>
      <c r="O57" s="281"/>
      <c r="P57" s="282"/>
      <c r="Q57" s="284"/>
      <c r="R57" s="284"/>
      <c r="S57" s="284"/>
      <c r="T57" s="284"/>
      <c r="U57" s="284"/>
    </row>
    <row r="58" spans="1:21" s="198" customFormat="1" ht="38.25" customHeight="1">
      <c r="A58" s="122"/>
      <c r="B58" s="150"/>
      <c r="C58" s="245" t="s">
        <v>177</v>
      </c>
      <c r="D58" s="246" t="s">
        <v>26</v>
      </c>
      <c r="E58" s="247">
        <v>3</v>
      </c>
      <c r="F58" s="280"/>
      <c r="G58" s="281"/>
      <c r="H58" s="281"/>
      <c r="I58" s="249"/>
      <c r="J58" s="281"/>
      <c r="K58" s="282"/>
      <c r="L58" s="283"/>
      <c r="M58" s="281"/>
      <c r="N58" s="281"/>
      <c r="O58" s="281"/>
      <c r="P58" s="282"/>
      <c r="Q58" s="51"/>
      <c r="R58" s="51"/>
      <c r="S58" s="51"/>
      <c r="T58" s="51"/>
      <c r="U58" s="51"/>
    </row>
    <row r="59" spans="1:21" s="198" customFormat="1" ht="12.75" customHeight="1">
      <c r="A59" s="486" t="s">
        <v>169</v>
      </c>
      <c r="B59" s="487"/>
      <c r="C59" s="487"/>
      <c r="D59" s="487"/>
      <c r="E59" s="488"/>
      <c r="F59" s="208"/>
      <c r="G59" s="209"/>
      <c r="H59" s="209"/>
      <c r="I59" s="209"/>
      <c r="J59" s="209"/>
      <c r="K59" s="210"/>
      <c r="L59" s="211"/>
      <c r="M59" s="211"/>
      <c r="N59" s="211"/>
      <c r="O59" s="211"/>
      <c r="P59" s="212"/>
      <c r="Q59" s="51"/>
      <c r="R59" s="51"/>
      <c r="S59" s="51"/>
      <c r="T59" s="51"/>
      <c r="U59" s="51"/>
    </row>
    <row r="60" spans="1:21" s="198" customFormat="1" ht="37.5" customHeight="1">
      <c r="A60" s="214" t="s">
        <v>3</v>
      </c>
      <c r="B60" s="259" t="s">
        <v>25</v>
      </c>
      <c r="C60" s="263" t="s">
        <v>171</v>
      </c>
      <c r="D60" s="217" t="s">
        <v>23</v>
      </c>
      <c r="E60" s="218">
        <v>5.9</v>
      </c>
      <c r="F60" s="260"/>
      <c r="G60" s="220"/>
      <c r="H60" s="220"/>
      <c r="I60" s="220"/>
      <c r="J60" s="220"/>
      <c r="K60" s="261"/>
      <c r="L60" s="262"/>
      <c r="M60" s="220"/>
      <c r="N60" s="220"/>
      <c r="O60" s="220"/>
      <c r="P60" s="261"/>
      <c r="Q60" s="51"/>
      <c r="R60" s="51"/>
      <c r="S60" s="51"/>
      <c r="T60" s="51"/>
      <c r="U60" s="51"/>
    </row>
    <row r="61" spans="1:21" s="198" customFormat="1" ht="25.5" customHeight="1">
      <c r="A61" s="214"/>
      <c r="B61" s="264"/>
      <c r="C61" s="265" t="s">
        <v>170</v>
      </c>
      <c r="D61" s="266" t="s">
        <v>26</v>
      </c>
      <c r="E61" s="267">
        <f>1.1*E60</f>
        <v>6.4900000000000011</v>
      </c>
      <c r="F61" s="268"/>
      <c r="G61" s="269"/>
      <c r="H61" s="269"/>
      <c r="I61" s="270"/>
      <c r="J61" s="269"/>
      <c r="K61" s="271"/>
      <c r="L61" s="272"/>
      <c r="M61" s="269"/>
      <c r="N61" s="269"/>
      <c r="O61" s="269"/>
      <c r="P61" s="261"/>
      <c r="Q61" s="51"/>
      <c r="R61" s="51"/>
      <c r="S61" s="51"/>
      <c r="T61" s="51"/>
      <c r="U61" s="51"/>
    </row>
    <row r="62" spans="1:21" s="115" customFormat="1" ht="12" thickBot="1">
      <c r="A62" s="492" t="s">
        <v>2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4"/>
      <c r="L62" s="179">
        <f>SUM(L14:L55)</f>
        <v>0</v>
      </c>
      <c r="M62" s="179">
        <f>SUM(M14:M55)</f>
        <v>0</v>
      </c>
      <c r="N62" s="180"/>
      <c r="O62" s="179">
        <f>SUM(O14:O55)</f>
        <v>0</v>
      </c>
      <c r="P62" s="181">
        <f>SUM(P14:P55)</f>
        <v>0</v>
      </c>
    </row>
    <row r="63" spans="1:21" s="115" customFormat="1" ht="12" thickBot="1">
      <c r="A63" s="489" t="s">
        <v>261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1"/>
      <c r="L63" s="182"/>
      <c r="M63" s="183"/>
      <c r="N63" s="184"/>
      <c r="O63" s="183"/>
      <c r="P63" s="185">
        <f>0.1*N62</f>
        <v>0</v>
      </c>
    </row>
    <row r="64" spans="1:21" s="115" customFormat="1" ht="12" thickBot="1">
      <c r="A64" s="489" t="s">
        <v>2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1"/>
      <c r="L64" s="186">
        <f>SUM(L62:L63)</f>
        <v>0</v>
      </c>
      <c r="M64" s="187">
        <f>SUM(M62:M63)</f>
        <v>0</v>
      </c>
      <c r="N64" s="187">
        <f>SUM(N62:N63)</f>
        <v>0</v>
      </c>
      <c r="O64" s="187">
        <f>SUM(O62:O63)</f>
        <v>0</v>
      </c>
      <c r="P64" s="188">
        <f>SUM(P62:P63)</f>
        <v>0</v>
      </c>
    </row>
    <row r="65" spans="1:18" s="115" customForma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90"/>
      <c r="M65" s="190"/>
      <c r="N65" s="190"/>
      <c r="O65" s="190"/>
      <c r="P65" s="190"/>
    </row>
    <row r="66" spans="1:18" s="115" customForma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90"/>
      <c r="M66" s="190"/>
      <c r="N66" s="190"/>
      <c r="O66" s="190"/>
      <c r="P66" s="190"/>
    </row>
    <row r="67" spans="1:18" s="115" customForma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90"/>
      <c r="M67" s="190"/>
      <c r="N67" s="190"/>
      <c r="O67" s="190"/>
      <c r="P67" s="190"/>
    </row>
    <row r="68" spans="1:18" s="115" customFormat="1" ht="12.75">
      <c r="B68" s="191"/>
      <c r="H68" s="192"/>
      <c r="I68" s="193"/>
    </row>
    <row r="69" spans="1:18" s="115" customFormat="1" ht="12.75">
      <c r="H69" s="194"/>
      <c r="O69" s="195"/>
      <c r="R69" s="196"/>
    </row>
    <row r="70" spans="1:18" s="115" customFormat="1"/>
  </sheetData>
  <mergeCells count="22">
    <mergeCell ref="A55:E55"/>
    <mergeCell ref="A62:K62"/>
    <mergeCell ref="A63:K63"/>
    <mergeCell ref="A64:K64"/>
    <mergeCell ref="A41:E41"/>
    <mergeCell ref="A59:E59"/>
    <mergeCell ref="A29:E29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L12:P12"/>
    <mergeCell ref="A14:E14"/>
    <mergeCell ref="F14:K14"/>
    <mergeCell ref="L14:P14"/>
    <mergeCell ref="A15:E15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52"/>
  <sheetViews>
    <sheetView showZeros="0" topLeftCell="A4" zoomScale="145" zoomScaleNormal="145" workbookViewId="0">
      <selection activeCell="C51" sqref="C51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125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'O1'!B29</f>
        <v>Telpu remonts 11.grupa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72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139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58.9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55.954999999999998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14.725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26.504999999999999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97" customFormat="1">
      <c r="A20" s="486" t="s">
        <v>138</v>
      </c>
      <c r="B20" s="487"/>
      <c r="C20" s="487"/>
      <c r="D20" s="487"/>
      <c r="E20" s="488"/>
      <c r="F20" s="208"/>
      <c r="G20" s="209"/>
      <c r="H20" s="209"/>
      <c r="I20" s="209"/>
      <c r="J20" s="209"/>
      <c r="K20" s="210"/>
      <c r="L20" s="211"/>
      <c r="M20" s="211"/>
      <c r="N20" s="211"/>
      <c r="O20" s="211"/>
      <c r="P20" s="212"/>
      <c r="Q20" s="115"/>
      <c r="R20" s="115"/>
      <c r="S20" s="115"/>
      <c r="T20" s="115"/>
      <c r="U20" s="115"/>
    </row>
    <row r="21" spans="1:21" s="115" customFormat="1" ht="33.75">
      <c r="A21" s="105" t="s">
        <v>3</v>
      </c>
      <c r="B21" s="213" t="s">
        <v>25</v>
      </c>
      <c r="C21" s="199" t="s">
        <v>121</v>
      </c>
      <c r="D21" s="108" t="s">
        <v>24</v>
      </c>
      <c r="E21" s="109">
        <v>90.2</v>
      </c>
      <c r="F21" s="110"/>
      <c r="G21" s="111"/>
      <c r="H21" s="112"/>
      <c r="I21" s="112"/>
      <c r="J21" s="111"/>
      <c r="K21" s="113"/>
      <c r="L21" s="114"/>
      <c r="M21" s="112"/>
      <c r="N21" s="112"/>
      <c r="O21" s="112"/>
      <c r="P21" s="113"/>
    </row>
    <row r="22" spans="1:21" s="115" customFormat="1">
      <c r="A22" s="122"/>
      <c r="B22" s="150"/>
      <c r="C22" s="151" t="s">
        <v>75</v>
      </c>
      <c r="D22" s="123" t="s">
        <v>78</v>
      </c>
      <c r="E22" s="152">
        <f>0.95*E21</f>
        <v>85.69</v>
      </c>
      <c r="F22" s="124"/>
      <c r="G22" s="126"/>
      <c r="H22" s="126"/>
      <c r="I22" s="126"/>
      <c r="J22" s="125"/>
      <c r="K22" s="127"/>
      <c r="L22" s="128"/>
      <c r="M22" s="126"/>
      <c r="N22" s="126"/>
      <c r="O22" s="126"/>
      <c r="P22" s="127"/>
    </row>
    <row r="23" spans="1:21" s="115" customFormat="1">
      <c r="A23" s="122"/>
      <c r="B23" s="150"/>
      <c r="C23" s="153" t="s">
        <v>76</v>
      </c>
      <c r="D23" s="123" t="s">
        <v>78</v>
      </c>
      <c r="E23" s="152">
        <f>0.25*E21</f>
        <v>22.55</v>
      </c>
      <c r="F23" s="124"/>
      <c r="G23" s="126"/>
      <c r="H23" s="126"/>
      <c r="I23" s="154"/>
      <c r="J23" s="125"/>
      <c r="K23" s="127"/>
      <c r="L23" s="128"/>
      <c r="M23" s="126"/>
      <c r="N23" s="126"/>
      <c r="O23" s="126"/>
      <c r="P23" s="127"/>
    </row>
    <row r="24" spans="1:21" s="115" customFormat="1" ht="24" customHeight="1">
      <c r="A24" s="122"/>
      <c r="B24" s="150"/>
      <c r="C24" s="155" t="s">
        <v>79</v>
      </c>
      <c r="D24" s="123" t="s">
        <v>78</v>
      </c>
      <c r="E24" s="152">
        <f>E21*0.45</f>
        <v>40.590000000000003</v>
      </c>
      <c r="F24" s="124"/>
      <c r="G24" s="126"/>
      <c r="H24" s="126"/>
      <c r="I24" s="126"/>
      <c r="J24" s="125"/>
      <c r="K24" s="127"/>
      <c r="L24" s="128"/>
      <c r="M24" s="126"/>
      <c r="N24" s="126"/>
      <c r="O24" s="126"/>
      <c r="P24" s="127"/>
    </row>
    <row r="25" spans="1:21" s="115" customFormat="1" ht="24.75" customHeight="1">
      <c r="A25" s="130" t="s">
        <v>29</v>
      </c>
      <c r="B25" s="131" t="s">
        <v>25</v>
      </c>
      <c r="C25" s="199" t="s">
        <v>179</v>
      </c>
      <c r="D25" s="133" t="s">
        <v>24</v>
      </c>
      <c r="E25" s="134">
        <v>13.2</v>
      </c>
      <c r="F25" s="200"/>
      <c r="G25" s="111"/>
      <c r="H25" s="111"/>
      <c r="I25" s="112"/>
      <c r="J25" s="111"/>
      <c r="K25" s="201"/>
      <c r="L25" s="202"/>
      <c r="M25" s="111"/>
      <c r="N25" s="111"/>
      <c r="O25" s="111"/>
      <c r="P25" s="201"/>
    </row>
    <row r="26" spans="1:21" s="115" customFormat="1" ht="12.75" customHeight="1">
      <c r="A26" s="156"/>
      <c r="B26" s="157"/>
      <c r="C26" s="171" t="s">
        <v>100</v>
      </c>
      <c r="D26" s="172" t="s">
        <v>78</v>
      </c>
      <c r="E26" s="173">
        <f>E25*0.47</f>
        <v>6.2039999999999997</v>
      </c>
      <c r="F26" s="203"/>
      <c r="G26" s="125"/>
      <c r="H26" s="125"/>
      <c r="I26" s="175"/>
      <c r="J26" s="125"/>
      <c r="K26" s="204"/>
      <c r="L26" s="205"/>
      <c r="M26" s="125"/>
      <c r="N26" s="125"/>
      <c r="O26" s="125"/>
      <c r="P26" s="204"/>
    </row>
    <row r="27" spans="1:21" s="115" customFormat="1" ht="33.75" customHeight="1">
      <c r="A27" s="130" t="s">
        <v>47</v>
      </c>
      <c r="B27" s="131" t="s">
        <v>25</v>
      </c>
      <c r="C27" s="199" t="s">
        <v>182</v>
      </c>
      <c r="D27" s="133" t="s">
        <v>24</v>
      </c>
      <c r="E27" s="134">
        <v>2.5</v>
      </c>
      <c r="F27" s="200"/>
      <c r="G27" s="111"/>
      <c r="H27" s="111"/>
      <c r="I27" s="112"/>
      <c r="J27" s="111"/>
      <c r="K27" s="201"/>
      <c r="L27" s="202"/>
      <c r="M27" s="111"/>
      <c r="N27" s="111"/>
      <c r="O27" s="111"/>
      <c r="P27" s="201"/>
    </row>
    <row r="28" spans="1:21" s="115" customFormat="1" ht="24" customHeight="1">
      <c r="A28" s="156"/>
      <c r="B28" s="157"/>
      <c r="C28" s="171" t="s">
        <v>181</v>
      </c>
      <c r="D28" s="172" t="s">
        <v>78</v>
      </c>
      <c r="E28" s="173">
        <f>E27*0.47</f>
        <v>1.1749999999999998</v>
      </c>
      <c r="F28" s="203"/>
      <c r="G28" s="125"/>
      <c r="H28" s="125"/>
      <c r="I28" s="175"/>
      <c r="J28" s="125"/>
      <c r="K28" s="204"/>
      <c r="L28" s="205"/>
      <c r="M28" s="125"/>
      <c r="N28" s="125"/>
      <c r="O28" s="125"/>
      <c r="P28" s="204"/>
    </row>
    <row r="29" spans="1:21" s="197" customFormat="1" ht="12.75" customHeight="1">
      <c r="A29" s="486" t="s">
        <v>137</v>
      </c>
      <c r="B29" s="487"/>
      <c r="C29" s="487"/>
      <c r="D29" s="487"/>
      <c r="E29" s="488"/>
      <c r="F29" s="208"/>
      <c r="G29" s="209"/>
      <c r="H29" s="209"/>
      <c r="I29" s="209"/>
      <c r="J29" s="209"/>
      <c r="K29" s="210"/>
      <c r="L29" s="211"/>
      <c r="M29" s="211"/>
      <c r="N29" s="211"/>
      <c r="O29" s="211"/>
      <c r="P29" s="212"/>
      <c r="Q29" s="115"/>
      <c r="R29" s="115"/>
      <c r="S29" s="115"/>
      <c r="T29" s="115"/>
      <c r="U29" s="115"/>
    </row>
    <row r="30" spans="1:21" s="197" customFormat="1" ht="24.75" customHeight="1">
      <c r="A30" s="214" t="s">
        <v>3</v>
      </c>
      <c r="B30" s="234" t="s">
        <v>146</v>
      </c>
      <c r="C30" s="240" t="s">
        <v>188</v>
      </c>
      <c r="D30" s="133" t="s">
        <v>142</v>
      </c>
      <c r="E30" s="134">
        <v>0.3</v>
      </c>
      <c r="F30" s="135"/>
      <c r="G30" s="111"/>
      <c r="H30" s="136"/>
      <c r="I30" s="136"/>
      <c r="J30" s="136"/>
      <c r="K30" s="137"/>
      <c r="L30" s="138"/>
      <c r="M30" s="136"/>
      <c r="N30" s="136"/>
      <c r="O30" s="136"/>
      <c r="P30" s="137"/>
      <c r="Q30" s="115"/>
      <c r="R30" s="115"/>
      <c r="S30" s="115"/>
      <c r="T30" s="115"/>
      <c r="U30" s="115"/>
    </row>
    <row r="31" spans="1:21" s="198" customFormat="1" ht="24.75" customHeight="1">
      <c r="A31" s="214" t="s">
        <v>29</v>
      </c>
      <c r="B31" s="234" t="s">
        <v>25</v>
      </c>
      <c r="C31" s="240" t="s">
        <v>140</v>
      </c>
      <c r="D31" s="235" t="s">
        <v>24</v>
      </c>
      <c r="E31" s="241">
        <v>10.9</v>
      </c>
      <c r="F31" s="236"/>
      <c r="G31" s="242"/>
      <c r="H31" s="237"/>
      <c r="I31" s="112"/>
      <c r="J31" s="237"/>
      <c r="K31" s="238"/>
      <c r="L31" s="239"/>
      <c r="M31" s="237"/>
      <c r="N31" s="237"/>
      <c r="O31" s="237"/>
      <c r="P31" s="238"/>
      <c r="Q31" s="51"/>
      <c r="R31" s="51"/>
      <c r="S31" s="51"/>
      <c r="T31" s="51"/>
      <c r="U31" s="51"/>
    </row>
    <row r="32" spans="1:21" s="198" customFormat="1" ht="11.25" customHeight="1">
      <c r="A32" s="243"/>
      <c r="B32" s="244"/>
      <c r="C32" s="245" t="s">
        <v>145</v>
      </c>
      <c r="D32" s="246" t="s">
        <v>24</v>
      </c>
      <c r="E32" s="247">
        <f>1.15*E31*4</f>
        <v>50.14</v>
      </c>
      <c r="F32" s="248"/>
      <c r="G32" s="249"/>
      <c r="H32" s="249"/>
      <c r="I32" s="249"/>
      <c r="J32" s="249"/>
      <c r="K32" s="250"/>
      <c r="L32" s="251"/>
      <c r="M32" s="249"/>
      <c r="N32" s="249"/>
      <c r="O32" s="249"/>
      <c r="P32" s="250"/>
      <c r="Q32" s="51"/>
      <c r="R32" s="51"/>
      <c r="S32" s="51"/>
      <c r="T32" s="51"/>
      <c r="U32" s="51"/>
    </row>
    <row r="33" spans="1:21" s="198" customFormat="1" ht="11.25" customHeight="1">
      <c r="A33" s="243"/>
      <c r="B33" s="244"/>
      <c r="C33" s="245" t="s">
        <v>141</v>
      </c>
      <c r="D33" s="246" t="s">
        <v>24</v>
      </c>
      <c r="E33" s="247">
        <f>1.05*E31</f>
        <v>11.445</v>
      </c>
      <c r="F33" s="248"/>
      <c r="G33" s="249"/>
      <c r="H33" s="249"/>
      <c r="I33" s="249"/>
      <c r="J33" s="249"/>
      <c r="K33" s="250"/>
      <c r="L33" s="251"/>
      <c r="M33" s="249"/>
      <c r="N33" s="249"/>
      <c r="O33" s="249"/>
      <c r="P33" s="250"/>
      <c r="Q33" s="51"/>
      <c r="R33" s="51"/>
      <c r="S33" s="51"/>
      <c r="T33" s="51"/>
      <c r="U33" s="51"/>
    </row>
    <row r="34" spans="1:21" s="198" customFormat="1" ht="11.25" customHeight="1">
      <c r="A34" s="243"/>
      <c r="B34" s="244"/>
      <c r="C34" s="252" t="s">
        <v>144</v>
      </c>
      <c r="D34" s="246" t="s">
        <v>142</v>
      </c>
      <c r="E34" s="247">
        <f>0.1*E31/50</f>
        <v>2.18E-2</v>
      </c>
      <c r="F34" s="248"/>
      <c r="G34" s="249"/>
      <c r="H34" s="249"/>
      <c r="I34" s="249"/>
      <c r="J34" s="249"/>
      <c r="K34" s="250"/>
      <c r="L34" s="251"/>
      <c r="M34" s="249"/>
      <c r="N34" s="249"/>
      <c r="O34" s="249"/>
      <c r="P34" s="250"/>
      <c r="Q34" s="51"/>
      <c r="R34" s="51"/>
      <c r="S34" s="51"/>
      <c r="T34" s="51"/>
      <c r="U34" s="51"/>
    </row>
    <row r="35" spans="1:21" s="198" customFormat="1" ht="11.25" customHeight="1">
      <c r="A35" s="243"/>
      <c r="B35" s="244"/>
      <c r="C35" s="252" t="s">
        <v>143</v>
      </c>
      <c r="D35" s="246" t="s">
        <v>27</v>
      </c>
      <c r="E35" s="247">
        <f>E31*13</f>
        <v>141.70000000000002</v>
      </c>
      <c r="F35" s="248"/>
      <c r="G35" s="249"/>
      <c r="H35" s="249"/>
      <c r="I35" s="249"/>
      <c r="J35" s="249"/>
      <c r="K35" s="250"/>
      <c r="L35" s="251"/>
      <c r="M35" s="249"/>
      <c r="N35" s="249"/>
      <c r="O35" s="249"/>
      <c r="P35" s="250"/>
      <c r="Q35" s="51"/>
      <c r="R35" s="51"/>
      <c r="S35" s="51"/>
      <c r="T35" s="51"/>
      <c r="U35" s="51"/>
    </row>
    <row r="36" spans="1:21" s="198" customFormat="1" ht="11.25" customHeight="1">
      <c r="A36" s="214" t="s">
        <v>47</v>
      </c>
      <c r="B36" s="215" t="s">
        <v>92</v>
      </c>
      <c r="C36" s="216" t="s">
        <v>147</v>
      </c>
      <c r="D36" s="217" t="s">
        <v>24</v>
      </c>
      <c r="E36" s="218">
        <v>1.7</v>
      </c>
      <c r="F36" s="219"/>
      <c r="G36" s="220"/>
      <c r="H36" s="221"/>
      <c r="I36" s="221"/>
      <c r="J36" s="221"/>
      <c r="K36" s="222"/>
      <c r="L36" s="223"/>
      <c r="M36" s="221"/>
      <c r="N36" s="221"/>
      <c r="O36" s="221"/>
      <c r="P36" s="222"/>
      <c r="Q36" s="51"/>
      <c r="R36" s="51"/>
      <c r="S36" s="51"/>
      <c r="T36" s="51"/>
      <c r="U36" s="51"/>
    </row>
    <row r="37" spans="1:21" s="198" customFormat="1" ht="33.75" customHeight="1">
      <c r="A37" s="224"/>
      <c r="B37" s="225"/>
      <c r="C37" s="226" t="s">
        <v>180</v>
      </c>
      <c r="D37" s="225" t="s">
        <v>28</v>
      </c>
      <c r="E37" s="227">
        <v>1</v>
      </c>
      <c r="F37" s="228"/>
      <c r="G37" s="229"/>
      <c r="H37" s="229"/>
      <c r="I37" s="229"/>
      <c r="J37" s="229"/>
      <c r="K37" s="230"/>
      <c r="L37" s="231"/>
      <c r="M37" s="229"/>
      <c r="N37" s="229"/>
      <c r="O37" s="229"/>
      <c r="P37" s="230"/>
      <c r="Q37" s="51"/>
      <c r="R37" s="51"/>
      <c r="S37" s="51"/>
      <c r="T37" s="51"/>
      <c r="U37" s="51"/>
    </row>
    <row r="38" spans="1:21" s="198" customFormat="1" ht="11.25" customHeight="1">
      <c r="A38" s="224"/>
      <c r="B38" s="232"/>
      <c r="C38" s="233" t="s">
        <v>93</v>
      </c>
      <c r="D38" s="225" t="s">
        <v>28</v>
      </c>
      <c r="E38" s="227">
        <f>E36*0.33</f>
        <v>0.56100000000000005</v>
      </c>
      <c r="F38" s="228"/>
      <c r="G38" s="229"/>
      <c r="H38" s="229"/>
      <c r="I38" s="229"/>
      <c r="J38" s="229"/>
      <c r="K38" s="230"/>
      <c r="L38" s="231"/>
      <c r="M38" s="229"/>
      <c r="N38" s="229"/>
      <c r="O38" s="229"/>
      <c r="P38" s="230"/>
      <c r="Q38" s="51"/>
      <c r="R38" s="51"/>
      <c r="S38" s="51"/>
      <c r="T38" s="51"/>
      <c r="U38" s="51"/>
    </row>
    <row r="39" spans="1:21" s="198" customFormat="1" ht="11.25" customHeight="1">
      <c r="A39" s="224"/>
      <c r="B39" s="232"/>
      <c r="C39" s="233" t="s">
        <v>94</v>
      </c>
      <c r="D39" s="225" t="s">
        <v>28</v>
      </c>
      <c r="E39" s="227">
        <f>SUM(E37:E37)*10</f>
        <v>10</v>
      </c>
      <c r="F39" s="228"/>
      <c r="G39" s="229"/>
      <c r="H39" s="229"/>
      <c r="I39" s="229"/>
      <c r="J39" s="229"/>
      <c r="K39" s="230"/>
      <c r="L39" s="231"/>
      <c r="M39" s="229"/>
      <c r="N39" s="229"/>
      <c r="O39" s="229"/>
      <c r="P39" s="230"/>
      <c r="Q39" s="51"/>
      <c r="R39" s="51"/>
      <c r="S39" s="51"/>
      <c r="T39" s="51"/>
      <c r="U39" s="51"/>
    </row>
    <row r="40" spans="1:21" s="198" customFormat="1" ht="25.5" customHeight="1">
      <c r="A40" s="214" t="s">
        <v>48</v>
      </c>
      <c r="B40" s="215" t="s">
        <v>148</v>
      </c>
      <c r="C40" s="253" t="s">
        <v>149</v>
      </c>
      <c r="D40" s="217" t="s">
        <v>24</v>
      </c>
      <c r="E40" s="218">
        <v>5.34</v>
      </c>
      <c r="F40" s="219"/>
      <c r="G40" s="220"/>
      <c r="H40" s="221"/>
      <c r="I40" s="221"/>
      <c r="J40" s="221"/>
      <c r="K40" s="222"/>
      <c r="L40" s="223"/>
      <c r="M40" s="221"/>
      <c r="N40" s="221"/>
      <c r="O40" s="221"/>
      <c r="P40" s="222"/>
      <c r="Q40" s="51"/>
      <c r="R40" s="51"/>
      <c r="S40" s="51"/>
      <c r="T40" s="51"/>
      <c r="U40" s="51"/>
    </row>
    <row r="41" spans="1:21" s="198" customFormat="1" ht="11.25" customHeight="1">
      <c r="A41" s="224"/>
      <c r="B41" s="225"/>
      <c r="C41" s="226" t="s">
        <v>150</v>
      </c>
      <c r="D41" s="246" t="s">
        <v>24</v>
      </c>
      <c r="E41" s="227">
        <f>E40*0.95</f>
        <v>5.0729999999999995</v>
      </c>
      <c r="F41" s="228"/>
      <c r="G41" s="229"/>
      <c r="H41" s="229"/>
      <c r="I41" s="229"/>
      <c r="J41" s="229"/>
      <c r="K41" s="230"/>
      <c r="L41" s="231"/>
      <c r="M41" s="229"/>
      <c r="N41" s="229"/>
      <c r="O41" s="229"/>
      <c r="P41" s="230"/>
      <c r="Q41" s="51"/>
      <c r="R41" s="51"/>
      <c r="S41" s="51"/>
      <c r="T41" s="51"/>
      <c r="U41" s="51"/>
    </row>
    <row r="42" spans="1:21" s="198" customFormat="1" ht="11.25" customHeight="1">
      <c r="A42" s="224"/>
      <c r="B42" s="232"/>
      <c r="C42" s="233" t="s">
        <v>93</v>
      </c>
      <c r="D42" s="225" t="s">
        <v>28</v>
      </c>
      <c r="E42" s="227">
        <f>E40*0.33</f>
        <v>1.7622</v>
      </c>
      <c r="F42" s="228"/>
      <c r="G42" s="229"/>
      <c r="H42" s="229"/>
      <c r="I42" s="229"/>
      <c r="J42" s="229"/>
      <c r="K42" s="230"/>
      <c r="L42" s="231"/>
      <c r="M42" s="229"/>
      <c r="N42" s="229"/>
      <c r="O42" s="229"/>
      <c r="P42" s="230"/>
      <c r="Q42" s="51"/>
      <c r="R42" s="51"/>
      <c r="S42" s="51"/>
      <c r="T42" s="51"/>
      <c r="U42" s="51"/>
    </row>
    <row r="43" spans="1:21" s="198" customFormat="1" ht="11.25" customHeight="1">
      <c r="A43" s="224"/>
      <c r="B43" s="232"/>
      <c r="C43" s="233" t="s">
        <v>94</v>
      </c>
      <c r="D43" s="225" t="s">
        <v>28</v>
      </c>
      <c r="E43" s="227">
        <f>SUM(E41:E41)*10</f>
        <v>50.73</v>
      </c>
      <c r="F43" s="228"/>
      <c r="G43" s="229"/>
      <c r="H43" s="229"/>
      <c r="I43" s="229"/>
      <c r="J43" s="229"/>
      <c r="K43" s="230"/>
      <c r="L43" s="231"/>
      <c r="M43" s="229"/>
      <c r="N43" s="229"/>
      <c r="O43" s="229"/>
      <c r="P43" s="230"/>
      <c r="Q43" s="51"/>
      <c r="R43" s="51"/>
      <c r="S43" s="51"/>
      <c r="T43" s="51"/>
      <c r="U43" s="51"/>
    </row>
    <row r="44" spans="1:21" s="115" customFormat="1" ht="12" thickBot="1">
      <c r="A44" s="492" t="s">
        <v>2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4"/>
      <c r="L44" s="179">
        <f>SUM(L14:L43)</f>
        <v>0</v>
      </c>
      <c r="M44" s="179">
        <f>SUM(M14:M43)</f>
        <v>0</v>
      </c>
      <c r="N44" s="180"/>
      <c r="O44" s="179">
        <f>SUM(O14:O43)</f>
        <v>0</v>
      </c>
      <c r="P44" s="181">
        <f>SUM(P14:P43)</f>
        <v>0</v>
      </c>
    </row>
    <row r="45" spans="1:21" s="115" customFormat="1" ht="12" thickBot="1">
      <c r="A45" s="489" t="s">
        <v>264</v>
      </c>
      <c r="B45" s="490"/>
      <c r="C45" s="490"/>
      <c r="D45" s="490"/>
      <c r="E45" s="490"/>
      <c r="F45" s="490"/>
      <c r="G45" s="490"/>
      <c r="H45" s="490"/>
      <c r="I45" s="490"/>
      <c r="J45" s="490"/>
      <c r="K45" s="491"/>
      <c r="L45" s="182"/>
      <c r="M45" s="183"/>
      <c r="N45" s="184"/>
      <c r="O45" s="183"/>
      <c r="P45" s="185">
        <f>0.1*N44</f>
        <v>0</v>
      </c>
    </row>
    <row r="46" spans="1:21" s="115" customFormat="1" ht="12" thickBot="1">
      <c r="A46" s="489" t="s">
        <v>2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1"/>
      <c r="L46" s="186">
        <f>SUM(L44:L45)</f>
        <v>0</v>
      </c>
      <c r="M46" s="187">
        <f>SUM(M44:M45)</f>
        <v>0</v>
      </c>
      <c r="N46" s="187">
        <f>SUM(N44:N45)</f>
        <v>0</v>
      </c>
      <c r="O46" s="187">
        <f>SUM(O44:O45)</f>
        <v>0</v>
      </c>
      <c r="P46" s="188">
        <f>SUM(P44:P45)</f>
        <v>0</v>
      </c>
    </row>
    <row r="47" spans="1:21" s="115" customForma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90"/>
      <c r="M47" s="190"/>
      <c r="N47" s="190"/>
      <c r="O47" s="190"/>
      <c r="P47" s="190"/>
    </row>
    <row r="48" spans="1:21" s="115" customForma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90"/>
      <c r="M48" s="190"/>
      <c r="N48" s="190"/>
      <c r="O48" s="190"/>
      <c r="P48" s="190"/>
    </row>
    <row r="49" spans="1:18" s="115" customForma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90"/>
      <c r="M49" s="190"/>
      <c r="N49" s="190"/>
      <c r="O49" s="190"/>
      <c r="P49" s="190"/>
    </row>
    <row r="50" spans="1:18" s="115" customFormat="1" ht="12.75">
      <c r="B50" s="191"/>
      <c r="H50" s="192"/>
      <c r="I50" s="193"/>
    </row>
    <row r="51" spans="1:18" s="115" customFormat="1" ht="12.75">
      <c r="H51" s="194"/>
      <c r="O51" s="195"/>
      <c r="R51" s="196"/>
    </row>
    <row r="52" spans="1:18" s="115" customFormat="1"/>
  </sheetData>
  <mergeCells count="20"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A29:E29"/>
    <mergeCell ref="A44:K44"/>
    <mergeCell ref="A45:K45"/>
    <mergeCell ref="A46:K46"/>
    <mergeCell ref="L12:P12"/>
    <mergeCell ref="A14:E14"/>
    <mergeCell ref="F14:K14"/>
    <mergeCell ref="L14:P14"/>
    <mergeCell ref="A15:E15"/>
    <mergeCell ref="A20:E20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57"/>
  <sheetViews>
    <sheetView showZeros="0" topLeftCell="A25" zoomScale="145" zoomScaleNormal="145" workbookViewId="0">
      <selection activeCell="F60" sqref="F60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183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'O1'!B30</f>
        <v>Telpu remonts 12.grupa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20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184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186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63.4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60.23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15.85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28.53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97" customFormat="1">
      <c r="A20" s="486" t="s">
        <v>185</v>
      </c>
      <c r="B20" s="487"/>
      <c r="C20" s="487"/>
      <c r="D20" s="487"/>
      <c r="E20" s="488"/>
      <c r="F20" s="208"/>
      <c r="G20" s="209"/>
      <c r="H20" s="209"/>
      <c r="I20" s="209"/>
      <c r="J20" s="209"/>
      <c r="K20" s="210"/>
      <c r="L20" s="211"/>
      <c r="M20" s="211"/>
      <c r="N20" s="211"/>
      <c r="O20" s="211"/>
      <c r="P20" s="212"/>
      <c r="Q20" s="115"/>
      <c r="R20" s="115"/>
      <c r="S20" s="115"/>
      <c r="T20" s="115"/>
      <c r="U20" s="115"/>
    </row>
    <row r="21" spans="1:21" s="115" customFormat="1" ht="33.75">
      <c r="A21" s="105" t="s">
        <v>3</v>
      </c>
      <c r="B21" s="213" t="s">
        <v>25</v>
      </c>
      <c r="C21" s="199" t="s">
        <v>121</v>
      </c>
      <c r="D21" s="108" t="s">
        <v>24</v>
      </c>
      <c r="E21" s="109">
        <v>90.1</v>
      </c>
      <c r="F21" s="110"/>
      <c r="G21" s="111"/>
      <c r="H21" s="112"/>
      <c r="I21" s="112"/>
      <c r="J21" s="111"/>
      <c r="K21" s="113"/>
      <c r="L21" s="114"/>
      <c r="M21" s="112"/>
      <c r="N21" s="112"/>
      <c r="O21" s="112"/>
      <c r="P21" s="113"/>
    </row>
    <row r="22" spans="1:21" s="115" customFormat="1">
      <c r="A22" s="122"/>
      <c r="B22" s="150"/>
      <c r="C22" s="151" t="s">
        <v>75</v>
      </c>
      <c r="D22" s="123" t="s">
        <v>78</v>
      </c>
      <c r="E22" s="152">
        <f>0.95*E21</f>
        <v>85.594999999999985</v>
      </c>
      <c r="F22" s="124"/>
      <c r="G22" s="126"/>
      <c r="H22" s="126"/>
      <c r="I22" s="126"/>
      <c r="J22" s="125"/>
      <c r="K22" s="127"/>
      <c r="L22" s="128"/>
      <c r="M22" s="126"/>
      <c r="N22" s="126"/>
      <c r="O22" s="126"/>
      <c r="P22" s="127"/>
    </row>
    <row r="23" spans="1:21" s="115" customFormat="1">
      <c r="A23" s="122"/>
      <c r="B23" s="150"/>
      <c r="C23" s="153" t="s">
        <v>76</v>
      </c>
      <c r="D23" s="123" t="s">
        <v>78</v>
      </c>
      <c r="E23" s="152">
        <f>0.25*E21</f>
        <v>22.524999999999999</v>
      </c>
      <c r="F23" s="124"/>
      <c r="G23" s="126"/>
      <c r="H23" s="126"/>
      <c r="I23" s="154"/>
      <c r="J23" s="125"/>
      <c r="K23" s="127"/>
      <c r="L23" s="128"/>
      <c r="M23" s="126"/>
      <c r="N23" s="126"/>
      <c r="O23" s="126"/>
      <c r="P23" s="127"/>
    </row>
    <row r="24" spans="1:21" s="115" customFormat="1" ht="24" customHeight="1">
      <c r="A24" s="122"/>
      <c r="B24" s="150"/>
      <c r="C24" s="155" t="s">
        <v>79</v>
      </c>
      <c r="D24" s="123" t="s">
        <v>78</v>
      </c>
      <c r="E24" s="152">
        <f>E21*0.45</f>
        <v>40.545000000000002</v>
      </c>
      <c r="F24" s="124"/>
      <c r="G24" s="126"/>
      <c r="H24" s="126"/>
      <c r="I24" s="126"/>
      <c r="J24" s="125"/>
      <c r="K24" s="127"/>
      <c r="L24" s="128"/>
      <c r="M24" s="126"/>
      <c r="N24" s="126"/>
      <c r="O24" s="126"/>
      <c r="P24" s="127"/>
    </row>
    <row r="25" spans="1:21" s="115" customFormat="1" ht="24.75" customHeight="1">
      <c r="A25" s="130" t="s">
        <v>29</v>
      </c>
      <c r="B25" s="131" t="s">
        <v>25</v>
      </c>
      <c r="C25" s="199" t="s">
        <v>179</v>
      </c>
      <c r="D25" s="133" t="s">
        <v>24</v>
      </c>
      <c r="E25" s="134">
        <v>13.2</v>
      </c>
      <c r="F25" s="200"/>
      <c r="G25" s="111"/>
      <c r="H25" s="111"/>
      <c r="I25" s="112"/>
      <c r="J25" s="111"/>
      <c r="K25" s="201"/>
      <c r="L25" s="202"/>
      <c r="M25" s="111"/>
      <c r="N25" s="111"/>
      <c r="O25" s="111"/>
      <c r="P25" s="201"/>
    </row>
    <row r="26" spans="1:21" s="115" customFormat="1" ht="12" customHeight="1">
      <c r="A26" s="130"/>
      <c r="B26" s="131"/>
      <c r="C26" s="171" t="s">
        <v>100</v>
      </c>
      <c r="D26" s="172" t="s">
        <v>78</v>
      </c>
      <c r="E26" s="173">
        <f>E24*0.47</f>
        <v>19.056149999999999</v>
      </c>
      <c r="F26" s="203"/>
      <c r="G26" s="125"/>
      <c r="H26" s="125"/>
      <c r="I26" s="175"/>
      <c r="J26" s="125"/>
      <c r="K26" s="204"/>
      <c r="L26" s="205"/>
      <c r="M26" s="125"/>
      <c r="N26" s="125"/>
      <c r="O26" s="125"/>
      <c r="P26" s="204"/>
    </row>
    <row r="27" spans="1:21" s="115" customFormat="1" ht="24.75" customHeight="1">
      <c r="A27" s="214" t="s">
        <v>47</v>
      </c>
      <c r="B27" s="234" t="s">
        <v>146</v>
      </c>
      <c r="C27" s="240" t="s">
        <v>188</v>
      </c>
      <c r="D27" s="133" t="s">
        <v>142</v>
      </c>
      <c r="E27" s="134">
        <v>0.3</v>
      </c>
      <c r="F27" s="135"/>
      <c r="G27" s="111"/>
      <c r="H27" s="136"/>
      <c r="I27" s="136"/>
      <c r="J27" s="136"/>
      <c r="K27" s="137"/>
      <c r="L27" s="138"/>
      <c r="M27" s="136"/>
      <c r="N27" s="136"/>
      <c r="O27" s="136"/>
      <c r="P27" s="137"/>
    </row>
    <row r="28" spans="1:21" s="198" customFormat="1" ht="24.75" customHeight="1">
      <c r="A28" s="214" t="s">
        <v>48</v>
      </c>
      <c r="B28" s="234" t="s">
        <v>25</v>
      </c>
      <c r="C28" s="240" t="s">
        <v>140</v>
      </c>
      <c r="D28" s="235" t="s">
        <v>24</v>
      </c>
      <c r="E28" s="241">
        <v>10.9</v>
      </c>
      <c r="F28" s="236"/>
      <c r="G28" s="242"/>
      <c r="H28" s="237"/>
      <c r="I28" s="112"/>
      <c r="J28" s="237"/>
      <c r="K28" s="238"/>
      <c r="L28" s="239"/>
      <c r="M28" s="237"/>
      <c r="N28" s="237"/>
      <c r="O28" s="237"/>
      <c r="P28" s="238"/>
      <c r="Q28" s="51"/>
      <c r="R28" s="51"/>
      <c r="S28" s="51"/>
      <c r="T28" s="51"/>
      <c r="U28" s="51"/>
    </row>
    <row r="29" spans="1:21" s="198" customFormat="1" ht="11.25" customHeight="1">
      <c r="A29" s="243"/>
      <c r="B29" s="244"/>
      <c r="C29" s="245" t="s">
        <v>145</v>
      </c>
      <c r="D29" s="246" t="s">
        <v>24</v>
      </c>
      <c r="E29" s="247">
        <f>1.15*E28*4</f>
        <v>50.14</v>
      </c>
      <c r="F29" s="248"/>
      <c r="G29" s="249"/>
      <c r="H29" s="249"/>
      <c r="I29" s="249"/>
      <c r="J29" s="249"/>
      <c r="K29" s="250"/>
      <c r="L29" s="251"/>
      <c r="M29" s="249"/>
      <c r="N29" s="249"/>
      <c r="O29" s="249"/>
      <c r="P29" s="250"/>
      <c r="Q29" s="51"/>
      <c r="R29" s="51"/>
      <c r="S29" s="51"/>
      <c r="T29" s="51"/>
      <c r="U29" s="51"/>
    </row>
    <row r="30" spans="1:21" s="198" customFormat="1" ht="11.25" customHeight="1">
      <c r="A30" s="243"/>
      <c r="B30" s="244"/>
      <c r="C30" s="245" t="s">
        <v>141</v>
      </c>
      <c r="D30" s="246" t="s">
        <v>24</v>
      </c>
      <c r="E30" s="247">
        <f>1.05*E28</f>
        <v>11.445</v>
      </c>
      <c r="F30" s="248"/>
      <c r="G30" s="249"/>
      <c r="H30" s="249"/>
      <c r="I30" s="249"/>
      <c r="J30" s="249"/>
      <c r="K30" s="250"/>
      <c r="L30" s="251"/>
      <c r="M30" s="249"/>
      <c r="N30" s="249"/>
      <c r="O30" s="249"/>
      <c r="P30" s="250"/>
      <c r="Q30" s="51"/>
      <c r="R30" s="51"/>
      <c r="S30" s="51"/>
      <c r="T30" s="51"/>
      <c r="U30" s="51"/>
    </row>
    <row r="31" spans="1:21" s="198" customFormat="1" ht="11.25" customHeight="1">
      <c r="A31" s="243"/>
      <c r="B31" s="244"/>
      <c r="C31" s="252" t="s">
        <v>144</v>
      </c>
      <c r="D31" s="246" t="s">
        <v>142</v>
      </c>
      <c r="E31" s="247">
        <f>0.1*E28/50</f>
        <v>2.18E-2</v>
      </c>
      <c r="F31" s="248"/>
      <c r="G31" s="249"/>
      <c r="H31" s="249"/>
      <c r="I31" s="249"/>
      <c r="J31" s="249"/>
      <c r="K31" s="250"/>
      <c r="L31" s="251"/>
      <c r="M31" s="249"/>
      <c r="N31" s="249"/>
      <c r="O31" s="249"/>
      <c r="P31" s="250"/>
      <c r="Q31" s="51"/>
      <c r="R31" s="51"/>
      <c r="S31" s="51"/>
      <c r="T31" s="51"/>
      <c r="U31" s="51"/>
    </row>
    <row r="32" spans="1:21" s="198" customFormat="1" ht="11.25" customHeight="1">
      <c r="A32" s="243"/>
      <c r="B32" s="244"/>
      <c r="C32" s="252" t="s">
        <v>143</v>
      </c>
      <c r="D32" s="246" t="s">
        <v>27</v>
      </c>
      <c r="E32" s="247">
        <f>E28*13</f>
        <v>141.70000000000002</v>
      </c>
      <c r="F32" s="248"/>
      <c r="G32" s="249"/>
      <c r="H32" s="249"/>
      <c r="I32" s="249"/>
      <c r="J32" s="249"/>
      <c r="K32" s="250"/>
      <c r="L32" s="251"/>
      <c r="M32" s="249"/>
      <c r="N32" s="249"/>
      <c r="O32" s="249"/>
      <c r="P32" s="250"/>
      <c r="Q32" s="51"/>
      <c r="R32" s="51"/>
      <c r="S32" s="51"/>
      <c r="T32" s="51"/>
      <c r="U32" s="51"/>
    </row>
    <row r="33" spans="1:21" s="198" customFormat="1" ht="11.25" customHeight="1">
      <c r="A33" s="214" t="s">
        <v>70</v>
      </c>
      <c r="B33" s="215" t="s">
        <v>92</v>
      </c>
      <c r="C33" s="216" t="s">
        <v>147</v>
      </c>
      <c r="D33" s="217" t="s">
        <v>24</v>
      </c>
      <c r="E33" s="218">
        <v>1.7</v>
      </c>
      <c r="F33" s="219"/>
      <c r="G33" s="220"/>
      <c r="H33" s="221"/>
      <c r="I33" s="221"/>
      <c r="J33" s="221"/>
      <c r="K33" s="222"/>
      <c r="L33" s="223"/>
      <c r="M33" s="221"/>
      <c r="N33" s="221"/>
      <c r="O33" s="221"/>
      <c r="P33" s="222"/>
      <c r="Q33" s="51"/>
      <c r="R33" s="51"/>
      <c r="S33" s="51"/>
      <c r="T33" s="51"/>
      <c r="U33" s="51"/>
    </row>
    <row r="34" spans="1:21" s="198" customFormat="1" ht="33.75" customHeight="1">
      <c r="A34" s="224"/>
      <c r="B34" s="225"/>
      <c r="C34" s="226" t="s">
        <v>180</v>
      </c>
      <c r="D34" s="225" t="s">
        <v>28</v>
      </c>
      <c r="E34" s="227">
        <v>1</v>
      </c>
      <c r="F34" s="228"/>
      <c r="G34" s="229"/>
      <c r="H34" s="229"/>
      <c r="I34" s="229"/>
      <c r="J34" s="229"/>
      <c r="K34" s="230"/>
      <c r="L34" s="231"/>
      <c r="M34" s="229"/>
      <c r="N34" s="229"/>
      <c r="O34" s="229"/>
      <c r="P34" s="230"/>
      <c r="Q34" s="51"/>
      <c r="R34" s="51"/>
      <c r="S34" s="51"/>
      <c r="T34" s="51"/>
      <c r="U34" s="51"/>
    </row>
    <row r="35" spans="1:21" s="198" customFormat="1" ht="11.25" customHeight="1">
      <c r="A35" s="224"/>
      <c r="B35" s="232"/>
      <c r="C35" s="233" t="s">
        <v>93</v>
      </c>
      <c r="D35" s="225" t="s">
        <v>28</v>
      </c>
      <c r="E35" s="227">
        <f>E33*0.33</f>
        <v>0.56100000000000005</v>
      </c>
      <c r="F35" s="228"/>
      <c r="G35" s="229"/>
      <c r="H35" s="229"/>
      <c r="I35" s="229"/>
      <c r="J35" s="229"/>
      <c r="K35" s="230"/>
      <c r="L35" s="231"/>
      <c r="M35" s="229"/>
      <c r="N35" s="229"/>
      <c r="O35" s="229"/>
      <c r="P35" s="230"/>
      <c r="Q35" s="51"/>
      <c r="R35" s="51"/>
      <c r="S35" s="51"/>
      <c r="T35" s="51"/>
      <c r="U35" s="51"/>
    </row>
    <row r="36" spans="1:21" s="198" customFormat="1" ht="11.25" customHeight="1">
      <c r="A36" s="224"/>
      <c r="B36" s="232"/>
      <c r="C36" s="233" t="s">
        <v>94</v>
      </c>
      <c r="D36" s="225" t="s">
        <v>28</v>
      </c>
      <c r="E36" s="227">
        <f>SUM(E34:E34)*10</f>
        <v>10</v>
      </c>
      <c r="F36" s="228"/>
      <c r="G36" s="229"/>
      <c r="H36" s="229"/>
      <c r="I36" s="229"/>
      <c r="J36" s="229"/>
      <c r="K36" s="230"/>
      <c r="L36" s="231"/>
      <c r="M36" s="229"/>
      <c r="N36" s="229"/>
      <c r="O36" s="229"/>
      <c r="P36" s="230"/>
      <c r="Q36" s="51"/>
      <c r="R36" s="51"/>
      <c r="S36" s="51"/>
      <c r="T36" s="51"/>
      <c r="U36" s="51"/>
    </row>
    <row r="37" spans="1:21" s="198" customFormat="1" ht="24" customHeight="1">
      <c r="A37" s="214" t="s">
        <v>98</v>
      </c>
      <c r="B37" s="215" t="s">
        <v>148</v>
      </c>
      <c r="C37" s="253" t="s">
        <v>149</v>
      </c>
      <c r="D37" s="217" t="s">
        <v>24</v>
      </c>
      <c r="E37" s="218">
        <v>5.34</v>
      </c>
      <c r="F37" s="219"/>
      <c r="G37" s="220"/>
      <c r="H37" s="221"/>
      <c r="I37" s="221"/>
      <c r="J37" s="221"/>
      <c r="K37" s="222"/>
      <c r="L37" s="223"/>
      <c r="M37" s="221"/>
      <c r="N37" s="221"/>
      <c r="O37" s="221"/>
      <c r="P37" s="222"/>
      <c r="Q37" s="51"/>
      <c r="R37" s="51"/>
      <c r="S37" s="51"/>
      <c r="T37" s="51"/>
      <c r="U37" s="51"/>
    </row>
    <row r="38" spans="1:21" s="198" customFormat="1" ht="11.25" customHeight="1">
      <c r="A38" s="224"/>
      <c r="B38" s="225"/>
      <c r="C38" s="226" t="s">
        <v>150</v>
      </c>
      <c r="D38" s="246" t="s">
        <v>24</v>
      </c>
      <c r="E38" s="227">
        <f>E37*0.95</f>
        <v>5.0729999999999995</v>
      </c>
      <c r="F38" s="228"/>
      <c r="G38" s="229"/>
      <c r="H38" s="229"/>
      <c r="I38" s="229"/>
      <c r="J38" s="229"/>
      <c r="K38" s="230"/>
      <c r="L38" s="231"/>
      <c r="M38" s="229"/>
      <c r="N38" s="229"/>
      <c r="O38" s="229"/>
      <c r="P38" s="230"/>
      <c r="Q38" s="51"/>
      <c r="R38" s="51"/>
      <c r="S38" s="51"/>
      <c r="T38" s="51"/>
      <c r="U38" s="51"/>
    </row>
    <row r="39" spans="1:21" s="198" customFormat="1" ht="11.25" customHeight="1">
      <c r="A39" s="224"/>
      <c r="B39" s="232"/>
      <c r="C39" s="233" t="s">
        <v>93</v>
      </c>
      <c r="D39" s="225" t="s">
        <v>28</v>
      </c>
      <c r="E39" s="227">
        <f>E37*0.33</f>
        <v>1.7622</v>
      </c>
      <c r="F39" s="228"/>
      <c r="G39" s="229"/>
      <c r="H39" s="229"/>
      <c r="I39" s="229"/>
      <c r="J39" s="229"/>
      <c r="K39" s="230"/>
      <c r="L39" s="231"/>
      <c r="M39" s="229"/>
      <c r="N39" s="229"/>
      <c r="O39" s="229"/>
      <c r="P39" s="230"/>
      <c r="Q39" s="51"/>
      <c r="R39" s="51"/>
      <c r="S39" s="51"/>
      <c r="T39" s="51"/>
      <c r="U39" s="51"/>
    </row>
    <row r="40" spans="1:21" s="198" customFormat="1" ht="11.25" customHeight="1">
      <c r="A40" s="224"/>
      <c r="B40" s="232"/>
      <c r="C40" s="233" t="s">
        <v>94</v>
      </c>
      <c r="D40" s="225" t="s">
        <v>28</v>
      </c>
      <c r="E40" s="227">
        <f>SUM(E35:E35)*10</f>
        <v>5.61</v>
      </c>
      <c r="F40" s="228"/>
      <c r="G40" s="229"/>
      <c r="H40" s="229"/>
      <c r="I40" s="229"/>
      <c r="J40" s="229"/>
      <c r="K40" s="230"/>
      <c r="L40" s="231"/>
      <c r="M40" s="229"/>
      <c r="N40" s="229"/>
      <c r="O40" s="229"/>
      <c r="P40" s="230"/>
      <c r="Q40" s="51"/>
      <c r="R40" s="51"/>
      <c r="S40" s="51"/>
      <c r="T40" s="51"/>
      <c r="U40" s="51"/>
    </row>
    <row r="41" spans="1:21" s="198" customFormat="1" ht="11.25" customHeight="1">
      <c r="A41" s="486" t="s">
        <v>187</v>
      </c>
      <c r="B41" s="487"/>
      <c r="C41" s="487"/>
      <c r="D41" s="487"/>
      <c r="E41" s="488"/>
      <c r="F41" s="208"/>
      <c r="G41" s="209"/>
      <c r="H41" s="209"/>
      <c r="I41" s="209"/>
      <c r="J41" s="209"/>
      <c r="K41" s="210"/>
      <c r="L41" s="211"/>
      <c r="M41" s="211"/>
      <c r="N41" s="211"/>
      <c r="O41" s="211"/>
      <c r="P41" s="212"/>
      <c r="Q41" s="51"/>
      <c r="R41" s="51"/>
      <c r="S41" s="51"/>
      <c r="T41" s="51"/>
      <c r="U41" s="51"/>
    </row>
    <row r="42" spans="1:21" s="198" customFormat="1" ht="24" customHeight="1">
      <c r="A42" s="105" t="s">
        <v>3</v>
      </c>
      <c r="B42" s="213" t="s">
        <v>25</v>
      </c>
      <c r="C42" s="258" t="s">
        <v>164</v>
      </c>
      <c r="D42" s="108" t="s">
        <v>24</v>
      </c>
      <c r="E42" s="109">
        <v>2.9</v>
      </c>
      <c r="F42" s="110"/>
      <c r="G42" s="111"/>
      <c r="H42" s="112"/>
      <c r="I42" s="112"/>
      <c r="J42" s="111"/>
      <c r="K42" s="113"/>
      <c r="L42" s="114"/>
      <c r="M42" s="112"/>
      <c r="N42" s="112"/>
      <c r="O42" s="112"/>
      <c r="P42" s="113"/>
      <c r="Q42" s="51"/>
      <c r="R42" s="51"/>
      <c r="S42" s="51"/>
      <c r="T42" s="51"/>
      <c r="U42" s="51"/>
    </row>
    <row r="43" spans="1:21" s="198" customFormat="1" ht="11.25" customHeight="1">
      <c r="A43" s="122"/>
      <c r="B43" s="150"/>
      <c r="C43" s="151" t="s">
        <v>75</v>
      </c>
      <c r="D43" s="123" t="s">
        <v>78</v>
      </c>
      <c r="E43" s="152">
        <f>0.95*E42</f>
        <v>2.7549999999999999</v>
      </c>
      <c r="F43" s="124"/>
      <c r="G43" s="126"/>
      <c r="H43" s="126"/>
      <c r="I43" s="126"/>
      <c r="J43" s="125"/>
      <c r="K43" s="127"/>
      <c r="L43" s="128"/>
      <c r="M43" s="126"/>
      <c r="N43" s="126"/>
      <c r="O43" s="126"/>
      <c r="P43" s="127"/>
      <c r="Q43" s="51"/>
      <c r="R43" s="51"/>
      <c r="S43" s="51"/>
      <c r="T43" s="51"/>
      <c r="U43" s="51"/>
    </row>
    <row r="44" spans="1:21" s="198" customFormat="1" ht="11.25" customHeight="1">
      <c r="A44" s="122"/>
      <c r="B44" s="150"/>
      <c r="C44" s="153" t="s">
        <v>76</v>
      </c>
      <c r="D44" s="123" t="s">
        <v>78</v>
      </c>
      <c r="E44" s="152">
        <f>0.25*E42</f>
        <v>0.72499999999999998</v>
      </c>
      <c r="F44" s="124"/>
      <c r="G44" s="126"/>
      <c r="H44" s="126"/>
      <c r="I44" s="154"/>
      <c r="J44" s="125"/>
      <c r="K44" s="127"/>
      <c r="L44" s="128"/>
      <c r="M44" s="126"/>
      <c r="N44" s="126"/>
      <c r="O44" s="126"/>
      <c r="P44" s="127"/>
      <c r="Q44" s="51"/>
      <c r="R44" s="51"/>
      <c r="S44" s="51"/>
      <c r="T44" s="51"/>
      <c r="U44" s="51"/>
    </row>
    <row r="45" spans="1:21" s="198" customFormat="1" ht="11.25" customHeight="1">
      <c r="A45" s="122"/>
      <c r="B45" s="150"/>
      <c r="C45" s="256" t="s">
        <v>79</v>
      </c>
      <c r="D45" s="123" t="s">
        <v>78</v>
      </c>
      <c r="E45" s="152">
        <f>E42*0.45</f>
        <v>1.3049999999999999</v>
      </c>
      <c r="F45" s="124"/>
      <c r="G45" s="126"/>
      <c r="H45" s="126"/>
      <c r="I45" s="126"/>
      <c r="J45" s="125"/>
      <c r="K45" s="127"/>
      <c r="L45" s="128"/>
      <c r="M45" s="126"/>
      <c r="N45" s="126"/>
      <c r="O45" s="126"/>
      <c r="P45" s="127"/>
      <c r="Q45" s="51"/>
      <c r="R45" s="51"/>
      <c r="S45" s="51"/>
      <c r="T45" s="51"/>
      <c r="U45" s="51"/>
    </row>
    <row r="46" spans="1:21" s="198" customFormat="1" ht="11.25" customHeight="1">
      <c r="A46" s="486" t="s">
        <v>130</v>
      </c>
      <c r="B46" s="487"/>
      <c r="C46" s="487"/>
      <c r="D46" s="487"/>
      <c r="E46" s="488"/>
      <c r="F46" s="208"/>
      <c r="G46" s="209"/>
      <c r="H46" s="209"/>
      <c r="I46" s="209"/>
      <c r="J46" s="209"/>
      <c r="K46" s="210"/>
      <c r="L46" s="211"/>
      <c r="M46" s="211"/>
      <c r="N46" s="211"/>
      <c r="O46" s="211"/>
      <c r="P46" s="212"/>
      <c r="Q46" s="51"/>
      <c r="R46" s="51"/>
      <c r="S46" s="51"/>
      <c r="T46" s="51"/>
      <c r="U46" s="51"/>
    </row>
    <row r="47" spans="1:21" s="198" customFormat="1" ht="11.25" customHeight="1">
      <c r="A47" s="130" t="s">
        <v>3</v>
      </c>
      <c r="B47" s="131" t="s">
        <v>25</v>
      </c>
      <c r="C47" s="199" t="s">
        <v>179</v>
      </c>
      <c r="D47" s="133" t="s">
        <v>24</v>
      </c>
      <c r="E47" s="134">
        <v>4.4000000000000004</v>
      </c>
      <c r="F47" s="200"/>
      <c r="G47" s="111"/>
      <c r="H47" s="111"/>
      <c r="I47" s="112"/>
      <c r="J47" s="111"/>
      <c r="K47" s="201"/>
      <c r="L47" s="202"/>
      <c r="M47" s="111"/>
      <c r="N47" s="111"/>
      <c r="O47" s="111"/>
      <c r="P47" s="201"/>
      <c r="Q47" s="51"/>
      <c r="R47" s="51"/>
      <c r="S47" s="51"/>
      <c r="T47" s="51"/>
      <c r="U47" s="51"/>
    </row>
    <row r="48" spans="1:21" s="198" customFormat="1" ht="11.25" customHeight="1">
      <c r="A48" s="156"/>
      <c r="B48" s="157"/>
      <c r="C48" s="171" t="s">
        <v>100</v>
      </c>
      <c r="D48" s="172" t="s">
        <v>78</v>
      </c>
      <c r="E48" s="173">
        <f>E47*0.47</f>
        <v>2.0680000000000001</v>
      </c>
      <c r="F48" s="203"/>
      <c r="G48" s="125"/>
      <c r="H48" s="125"/>
      <c r="I48" s="175"/>
      <c r="J48" s="125"/>
      <c r="K48" s="204"/>
      <c r="L48" s="205"/>
      <c r="M48" s="125"/>
      <c r="N48" s="125"/>
      <c r="O48" s="125"/>
      <c r="P48" s="204"/>
      <c r="Q48" s="51"/>
      <c r="R48" s="51"/>
      <c r="S48" s="51"/>
      <c r="T48" s="51"/>
      <c r="U48" s="51"/>
    </row>
    <row r="49" spans="1:18" s="115" customFormat="1" ht="12" thickBot="1">
      <c r="A49" s="492" t="s">
        <v>2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4"/>
      <c r="L49" s="179">
        <f>SUM(L14:L48)</f>
        <v>0</v>
      </c>
      <c r="M49" s="179">
        <f>SUM(M14:M48)</f>
        <v>0</v>
      </c>
      <c r="N49" s="180"/>
      <c r="O49" s="179">
        <f>SUM(O14:O48)</f>
        <v>0</v>
      </c>
      <c r="P49" s="181">
        <f>SUM(P14:P48)</f>
        <v>0</v>
      </c>
    </row>
    <row r="50" spans="1:18" s="115" customFormat="1" ht="12" thickBot="1">
      <c r="A50" s="489" t="s">
        <v>261</v>
      </c>
      <c r="B50" s="490"/>
      <c r="C50" s="490"/>
      <c r="D50" s="490"/>
      <c r="E50" s="490"/>
      <c r="F50" s="490"/>
      <c r="G50" s="490"/>
      <c r="H50" s="490"/>
      <c r="I50" s="490"/>
      <c r="J50" s="490"/>
      <c r="K50" s="491"/>
      <c r="L50" s="182"/>
      <c r="M50" s="183"/>
      <c r="N50" s="184"/>
      <c r="O50" s="183"/>
      <c r="P50" s="185">
        <f>0.1*N49</f>
        <v>0</v>
      </c>
    </row>
    <row r="51" spans="1:18" s="115" customFormat="1" ht="12" thickBot="1">
      <c r="A51" s="489" t="s">
        <v>2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1"/>
      <c r="L51" s="186">
        <f>SUM(L49:L50)</f>
        <v>0</v>
      </c>
      <c r="M51" s="187">
        <f>SUM(M49:M50)</f>
        <v>0</v>
      </c>
      <c r="N51" s="187">
        <f>SUM(N49:N50)</f>
        <v>0</v>
      </c>
      <c r="O51" s="187">
        <f>SUM(O49:O50)</f>
        <v>0</v>
      </c>
      <c r="P51" s="188">
        <f>SUM(P49:P50)</f>
        <v>0</v>
      </c>
    </row>
    <row r="52" spans="1:18" s="115" customForma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90"/>
      <c r="M52" s="190"/>
      <c r="N52" s="190"/>
      <c r="O52" s="190"/>
      <c r="P52" s="190"/>
    </row>
    <row r="53" spans="1:18" s="115" customForma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  <c r="M53" s="190"/>
      <c r="N53" s="190"/>
      <c r="O53" s="190"/>
      <c r="P53" s="190"/>
    </row>
    <row r="54" spans="1:18" s="115" customForma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90"/>
      <c r="M54" s="190"/>
      <c r="N54" s="190"/>
      <c r="O54" s="190"/>
      <c r="P54" s="190"/>
    </row>
    <row r="55" spans="1:18" s="115" customFormat="1" ht="12.75">
      <c r="B55" s="191"/>
      <c r="H55" s="192"/>
      <c r="I55" s="193"/>
    </row>
    <row r="56" spans="1:18" s="115" customFormat="1" ht="12.75">
      <c r="H56" s="194"/>
      <c r="O56" s="195"/>
      <c r="R56" s="196"/>
    </row>
    <row r="57" spans="1:18" s="115" customFormat="1"/>
  </sheetData>
  <mergeCells count="21">
    <mergeCell ref="A49:K49"/>
    <mergeCell ref="A50:K50"/>
    <mergeCell ref="A51:K51"/>
    <mergeCell ref="A41:E41"/>
    <mergeCell ref="A46:E46"/>
    <mergeCell ref="A20:E20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L12:P12"/>
    <mergeCell ref="A14:E14"/>
    <mergeCell ref="F14:K14"/>
    <mergeCell ref="L14:P14"/>
    <mergeCell ref="A15:E15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162"/>
  <sheetViews>
    <sheetView showZeros="0" zoomScale="145" zoomScaleNormal="145" workbookViewId="0">
      <selection activeCell="C159" sqref="C158:C159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189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'O1'!B31</f>
        <v>Koplietojamās telpas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20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196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203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35.4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33.629999999999995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8.85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4" customHeight="1">
      <c r="A19" s="122"/>
      <c r="B19" s="150"/>
      <c r="C19" s="155" t="s">
        <v>79</v>
      </c>
      <c r="D19" s="123" t="s">
        <v>78</v>
      </c>
      <c r="E19" s="152">
        <f>E16*0.45</f>
        <v>15.93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29" customFormat="1">
      <c r="A20" s="105" t="s">
        <v>29</v>
      </c>
      <c r="B20" s="300" t="s">
        <v>195</v>
      </c>
      <c r="C20" s="216" t="s">
        <v>194</v>
      </c>
      <c r="D20" s="217" t="s">
        <v>24</v>
      </c>
      <c r="E20" s="218">
        <v>2.1</v>
      </c>
      <c r="F20" s="219"/>
      <c r="G20" s="220"/>
      <c r="H20" s="221"/>
      <c r="I20" s="221"/>
      <c r="J20" s="221"/>
      <c r="K20" s="222"/>
      <c r="L20" s="223"/>
      <c r="M20" s="221"/>
      <c r="N20" s="221"/>
      <c r="O20" s="221"/>
      <c r="P20" s="222"/>
    </row>
    <row r="21" spans="1:21" s="129" customFormat="1">
      <c r="A21" s="214" t="s">
        <v>47</v>
      </c>
      <c r="B21" s="215" t="s">
        <v>92</v>
      </c>
      <c r="C21" s="216" t="s">
        <v>95</v>
      </c>
      <c r="D21" s="217" t="s">
        <v>24</v>
      </c>
      <c r="E21" s="218">
        <v>2.1</v>
      </c>
      <c r="F21" s="219"/>
      <c r="G21" s="220"/>
      <c r="H21" s="221"/>
      <c r="I21" s="112"/>
      <c r="J21" s="221"/>
      <c r="K21" s="222"/>
      <c r="L21" s="223"/>
      <c r="M21" s="221"/>
      <c r="N21" s="221"/>
      <c r="O21" s="221"/>
      <c r="P21" s="222"/>
    </row>
    <row r="22" spans="1:21" s="129" customFormat="1" ht="45">
      <c r="A22" s="224"/>
      <c r="B22" s="225"/>
      <c r="C22" s="226" t="s">
        <v>193</v>
      </c>
      <c r="D22" s="225" t="s">
        <v>28</v>
      </c>
      <c r="E22" s="227">
        <v>1</v>
      </c>
      <c r="F22" s="228"/>
      <c r="G22" s="229"/>
      <c r="H22" s="229"/>
      <c r="I22" s="229"/>
      <c r="J22" s="229"/>
      <c r="K22" s="230"/>
      <c r="L22" s="231"/>
      <c r="M22" s="229"/>
      <c r="N22" s="229"/>
      <c r="O22" s="229"/>
      <c r="P22" s="230"/>
    </row>
    <row r="23" spans="1:21" s="129" customFormat="1">
      <c r="A23" s="224"/>
      <c r="B23" s="232"/>
      <c r="C23" s="233" t="s">
        <v>93</v>
      </c>
      <c r="D23" s="225" t="s">
        <v>28</v>
      </c>
      <c r="E23" s="227">
        <f>E21*0.33</f>
        <v>0.69300000000000006</v>
      </c>
      <c r="F23" s="228"/>
      <c r="G23" s="229"/>
      <c r="H23" s="229"/>
      <c r="I23" s="229"/>
      <c r="J23" s="229"/>
      <c r="K23" s="230"/>
      <c r="L23" s="231"/>
      <c r="M23" s="229"/>
      <c r="N23" s="229"/>
      <c r="O23" s="229"/>
      <c r="P23" s="230"/>
    </row>
    <row r="24" spans="1:21" s="129" customFormat="1">
      <c r="A24" s="224"/>
      <c r="B24" s="232"/>
      <c r="C24" s="233" t="s">
        <v>94</v>
      </c>
      <c r="D24" s="225" t="s">
        <v>28</v>
      </c>
      <c r="E24" s="227">
        <f>SUM(E22:E22)*10</f>
        <v>10</v>
      </c>
      <c r="F24" s="228"/>
      <c r="G24" s="229"/>
      <c r="H24" s="229"/>
      <c r="I24" s="229"/>
      <c r="J24" s="229"/>
      <c r="K24" s="230"/>
      <c r="L24" s="231"/>
      <c r="M24" s="229"/>
      <c r="N24" s="229"/>
      <c r="O24" s="229"/>
      <c r="P24" s="230"/>
    </row>
    <row r="25" spans="1:21" s="197" customFormat="1">
      <c r="A25" s="486" t="s">
        <v>202</v>
      </c>
      <c r="B25" s="487"/>
      <c r="C25" s="487"/>
      <c r="D25" s="487"/>
      <c r="E25" s="488"/>
      <c r="F25" s="208"/>
      <c r="G25" s="209"/>
      <c r="H25" s="209"/>
      <c r="I25" s="209"/>
      <c r="J25" s="209"/>
      <c r="K25" s="210"/>
      <c r="L25" s="211"/>
      <c r="M25" s="211"/>
      <c r="N25" s="211"/>
      <c r="O25" s="211"/>
      <c r="P25" s="212"/>
      <c r="Q25" s="115"/>
      <c r="R25" s="115"/>
      <c r="S25" s="115"/>
      <c r="T25" s="115"/>
      <c r="U25" s="115"/>
    </row>
    <row r="26" spans="1:21" s="115" customFormat="1" ht="33.75">
      <c r="A26" s="105" t="s">
        <v>3</v>
      </c>
      <c r="B26" s="213" t="s">
        <v>25</v>
      </c>
      <c r="C26" s="199" t="s">
        <v>121</v>
      </c>
      <c r="D26" s="108" t="s">
        <v>24</v>
      </c>
      <c r="E26" s="109">
        <v>5.0999999999999996</v>
      </c>
      <c r="F26" s="110"/>
      <c r="G26" s="111"/>
      <c r="H26" s="112"/>
      <c r="I26" s="112"/>
      <c r="J26" s="111"/>
      <c r="K26" s="113"/>
      <c r="L26" s="114"/>
      <c r="M26" s="112"/>
      <c r="N26" s="112"/>
      <c r="O26" s="112"/>
      <c r="P26" s="113"/>
    </row>
    <row r="27" spans="1:21" s="115" customFormat="1">
      <c r="A27" s="122"/>
      <c r="B27" s="150"/>
      <c r="C27" s="151" t="s">
        <v>75</v>
      </c>
      <c r="D27" s="123" t="s">
        <v>78</v>
      </c>
      <c r="E27" s="152">
        <f>0.95*E26</f>
        <v>4.8449999999999998</v>
      </c>
      <c r="F27" s="124"/>
      <c r="G27" s="126"/>
      <c r="H27" s="126"/>
      <c r="I27" s="126"/>
      <c r="J27" s="125"/>
      <c r="K27" s="127"/>
      <c r="L27" s="128"/>
      <c r="M27" s="126"/>
      <c r="N27" s="126"/>
      <c r="O27" s="126"/>
      <c r="P27" s="127"/>
    </row>
    <row r="28" spans="1:21" s="115" customFormat="1">
      <c r="A28" s="122"/>
      <c r="B28" s="150"/>
      <c r="C28" s="153" t="s">
        <v>76</v>
      </c>
      <c r="D28" s="123" t="s">
        <v>78</v>
      </c>
      <c r="E28" s="152">
        <f>0.25*E26</f>
        <v>1.2749999999999999</v>
      </c>
      <c r="F28" s="124"/>
      <c r="G28" s="126"/>
      <c r="H28" s="126"/>
      <c r="I28" s="154"/>
      <c r="J28" s="125"/>
      <c r="K28" s="127"/>
      <c r="L28" s="128"/>
      <c r="M28" s="126"/>
      <c r="N28" s="126"/>
      <c r="O28" s="126"/>
      <c r="P28" s="127"/>
    </row>
    <row r="29" spans="1:21" s="115" customFormat="1" ht="24" customHeight="1">
      <c r="A29" s="122"/>
      <c r="B29" s="150"/>
      <c r="C29" s="155" t="s">
        <v>79</v>
      </c>
      <c r="D29" s="123" t="s">
        <v>78</v>
      </c>
      <c r="E29" s="152">
        <f>E26*0.45</f>
        <v>2.2949999999999999</v>
      </c>
      <c r="F29" s="124"/>
      <c r="G29" s="126"/>
      <c r="H29" s="126"/>
      <c r="I29" s="126"/>
      <c r="J29" s="125"/>
      <c r="K29" s="127"/>
      <c r="L29" s="128"/>
      <c r="M29" s="126"/>
      <c r="N29" s="126"/>
      <c r="O29" s="126"/>
      <c r="P29" s="127"/>
    </row>
    <row r="30" spans="1:21" s="115" customFormat="1" ht="12.75" customHeight="1">
      <c r="A30" s="105" t="s">
        <v>29</v>
      </c>
      <c r="B30" s="300" t="s">
        <v>195</v>
      </c>
      <c r="C30" s="216" t="s">
        <v>197</v>
      </c>
      <c r="D30" s="217" t="s">
        <v>24</v>
      </c>
      <c r="E30" s="218">
        <v>4.2</v>
      </c>
      <c r="F30" s="219"/>
      <c r="G30" s="220"/>
      <c r="H30" s="221"/>
      <c r="I30" s="221"/>
      <c r="J30" s="221"/>
      <c r="K30" s="222"/>
      <c r="L30" s="223"/>
      <c r="M30" s="221"/>
      <c r="N30" s="221"/>
      <c r="O30" s="221"/>
      <c r="P30" s="222"/>
    </row>
    <row r="31" spans="1:21" s="115" customFormat="1" ht="12" customHeight="1">
      <c r="A31" s="214" t="s">
        <v>47</v>
      </c>
      <c r="B31" s="215" t="s">
        <v>92</v>
      </c>
      <c r="C31" s="216" t="s">
        <v>236</v>
      </c>
      <c r="D31" s="217" t="s">
        <v>24</v>
      </c>
      <c r="E31" s="218">
        <v>4.2</v>
      </c>
      <c r="F31" s="219"/>
      <c r="G31" s="220"/>
      <c r="H31" s="221"/>
      <c r="I31" s="112"/>
      <c r="J31" s="221"/>
      <c r="K31" s="222"/>
      <c r="L31" s="223"/>
      <c r="M31" s="221"/>
      <c r="N31" s="221"/>
      <c r="O31" s="221"/>
      <c r="P31" s="222"/>
    </row>
    <row r="32" spans="1:21" s="115" customFormat="1" ht="45.75" customHeight="1">
      <c r="A32" s="224"/>
      <c r="B32" s="225"/>
      <c r="C32" s="226" t="s">
        <v>235</v>
      </c>
      <c r="D32" s="225" t="s">
        <v>28</v>
      </c>
      <c r="E32" s="227">
        <v>2</v>
      </c>
      <c r="F32" s="228"/>
      <c r="G32" s="229"/>
      <c r="H32" s="229"/>
      <c r="I32" s="229"/>
      <c r="J32" s="229"/>
      <c r="K32" s="230"/>
      <c r="L32" s="231"/>
      <c r="M32" s="229"/>
      <c r="N32" s="229"/>
      <c r="O32" s="229"/>
      <c r="P32" s="230"/>
    </row>
    <row r="33" spans="1:21" s="115" customFormat="1" ht="12" customHeight="1">
      <c r="A33" s="224"/>
      <c r="B33" s="232"/>
      <c r="C33" s="233" t="s">
        <v>93</v>
      </c>
      <c r="D33" s="225" t="s">
        <v>28</v>
      </c>
      <c r="E33" s="227">
        <f>E31*0.33</f>
        <v>1.3860000000000001</v>
      </c>
      <c r="F33" s="228"/>
      <c r="G33" s="229"/>
      <c r="H33" s="229"/>
      <c r="I33" s="229"/>
      <c r="J33" s="229"/>
      <c r="K33" s="230"/>
      <c r="L33" s="231"/>
      <c r="M33" s="229"/>
      <c r="N33" s="229"/>
      <c r="O33" s="229"/>
      <c r="P33" s="230"/>
    </row>
    <row r="34" spans="1:21" s="115" customFormat="1" ht="12.75" customHeight="1">
      <c r="A34" s="224"/>
      <c r="B34" s="232"/>
      <c r="C34" s="233" t="s">
        <v>94</v>
      </c>
      <c r="D34" s="225" t="s">
        <v>28</v>
      </c>
      <c r="E34" s="227">
        <f>SUM(E32:E32)*10</f>
        <v>20</v>
      </c>
      <c r="F34" s="228"/>
      <c r="G34" s="229"/>
      <c r="H34" s="229"/>
      <c r="I34" s="229"/>
      <c r="J34" s="229"/>
      <c r="K34" s="230"/>
      <c r="L34" s="231"/>
      <c r="M34" s="229"/>
      <c r="N34" s="229"/>
      <c r="O34" s="229"/>
      <c r="P34" s="230"/>
    </row>
    <row r="35" spans="1:21" s="198" customFormat="1" ht="11.25" customHeight="1">
      <c r="A35" s="486" t="s">
        <v>201</v>
      </c>
      <c r="B35" s="487"/>
      <c r="C35" s="487"/>
      <c r="D35" s="487"/>
      <c r="E35" s="488"/>
      <c r="F35" s="208"/>
      <c r="G35" s="209"/>
      <c r="H35" s="209"/>
      <c r="I35" s="209"/>
      <c r="J35" s="209"/>
      <c r="K35" s="210"/>
      <c r="L35" s="211"/>
      <c r="M35" s="211"/>
      <c r="N35" s="211"/>
      <c r="O35" s="211"/>
      <c r="P35" s="212"/>
      <c r="Q35" s="51"/>
      <c r="R35" s="51"/>
      <c r="S35" s="51"/>
      <c r="T35" s="51"/>
      <c r="U35" s="51"/>
    </row>
    <row r="36" spans="1:21" s="198" customFormat="1" ht="11.25" customHeight="1">
      <c r="A36" s="130" t="s">
        <v>3</v>
      </c>
      <c r="B36" s="131" t="s">
        <v>25</v>
      </c>
      <c r="C36" s="132" t="s">
        <v>199</v>
      </c>
      <c r="D36" s="133" t="s">
        <v>23</v>
      </c>
      <c r="E36" s="134">
        <v>27.9</v>
      </c>
      <c r="F36" s="135"/>
      <c r="G36" s="111"/>
      <c r="H36" s="136"/>
      <c r="I36" s="112"/>
      <c r="J36" s="136"/>
      <c r="K36" s="137"/>
      <c r="L36" s="138"/>
      <c r="M36" s="136"/>
      <c r="N36" s="136"/>
      <c r="O36" s="136"/>
      <c r="P36" s="137"/>
      <c r="Q36" s="51"/>
      <c r="R36" s="51"/>
      <c r="S36" s="51"/>
      <c r="T36" s="51"/>
      <c r="U36" s="51"/>
    </row>
    <row r="37" spans="1:21" s="198" customFormat="1" ht="11.25" customHeight="1">
      <c r="A37" s="130" t="s">
        <v>29</v>
      </c>
      <c r="B37" s="131" t="s">
        <v>25</v>
      </c>
      <c r="C37" s="132" t="s">
        <v>84</v>
      </c>
      <c r="D37" s="133" t="s">
        <v>24</v>
      </c>
      <c r="E37" s="134">
        <v>25.5</v>
      </c>
      <c r="F37" s="135"/>
      <c r="G37" s="111"/>
      <c r="H37" s="136"/>
      <c r="I37" s="136"/>
      <c r="J37" s="136"/>
      <c r="K37" s="137"/>
      <c r="L37" s="138"/>
      <c r="M37" s="136"/>
      <c r="N37" s="136"/>
      <c r="O37" s="136"/>
      <c r="P37" s="137"/>
      <c r="Q37" s="51"/>
      <c r="R37" s="51"/>
      <c r="S37" s="51"/>
      <c r="T37" s="51"/>
      <c r="U37" s="51"/>
    </row>
    <row r="38" spans="1:21" s="198" customFormat="1" ht="23.25" customHeight="1">
      <c r="A38" s="130" t="s">
        <v>47</v>
      </c>
      <c r="B38" s="131" t="s">
        <v>25</v>
      </c>
      <c r="C38" s="107" t="s">
        <v>91</v>
      </c>
      <c r="D38" s="139" t="s">
        <v>24</v>
      </c>
      <c r="E38" s="134">
        <v>25.5</v>
      </c>
      <c r="F38" s="140"/>
      <c r="G38" s="141"/>
      <c r="H38" s="141"/>
      <c r="I38" s="112"/>
      <c r="J38" s="141"/>
      <c r="K38" s="142"/>
      <c r="L38" s="143"/>
      <c r="M38" s="141"/>
      <c r="N38" s="141"/>
      <c r="O38" s="141"/>
      <c r="P38" s="142"/>
      <c r="Q38" s="51"/>
      <c r="R38" s="51"/>
      <c r="S38" s="51"/>
      <c r="T38" s="51"/>
      <c r="U38" s="51"/>
    </row>
    <row r="39" spans="1:21" s="198" customFormat="1" ht="24" customHeight="1">
      <c r="A39" s="156"/>
      <c r="B39" s="157"/>
      <c r="C39" s="254" t="s">
        <v>85</v>
      </c>
      <c r="D39" s="159" t="s">
        <v>28</v>
      </c>
      <c r="E39" s="160">
        <v>12</v>
      </c>
      <c r="F39" s="161"/>
      <c r="G39" s="162"/>
      <c r="H39" s="162"/>
      <c r="I39" s="163"/>
      <c r="J39" s="162"/>
      <c r="K39" s="164"/>
      <c r="L39" s="165"/>
      <c r="M39" s="162"/>
      <c r="N39" s="162"/>
      <c r="O39" s="162"/>
      <c r="P39" s="164"/>
      <c r="Q39" s="51"/>
      <c r="R39" s="51"/>
      <c r="S39" s="51"/>
      <c r="T39" s="51"/>
      <c r="U39" s="51"/>
    </row>
    <row r="40" spans="1:21" s="198" customFormat="1" ht="22.5" customHeight="1">
      <c r="A40" s="130" t="s">
        <v>48</v>
      </c>
      <c r="B40" s="257" t="s">
        <v>86</v>
      </c>
      <c r="C40" s="146" t="s">
        <v>200</v>
      </c>
      <c r="D40" s="139" t="s">
        <v>24</v>
      </c>
      <c r="E40" s="134">
        <v>25.5</v>
      </c>
      <c r="F40" s="147"/>
      <c r="G40" s="141"/>
      <c r="H40" s="144"/>
      <c r="I40" s="112"/>
      <c r="J40" s="144"/>
      <c r="K40" s="148"/>
      <c r="L40" s="149"/>
      <c r="M40" s="144"/>
      <c r="N40" s="144"/>
      <c r="O40" s="144"/>
      <c r="P40" s="148"/>
      <c r="Q40" s="51"/>
      <c r="R40" s="51"/>
      <c r="S40" s="51"/>
      <c r="T40" s="51"/>
      <c r="U40" s="51"/>
    </row>
    <row r="41" spans="1:21" s="198" customFormat="1" ht="11.25" customHeight="1">
      <c r="A41" s="156"/>
      <c r="B41" s="170"/>
      <c r="C41" s="158" t="s">
        <v>88</v>
      </c>
      <c r="D41" s="159" t="s">
        <v>24</v>
      </c>
      <c r="E41" s="160">
        <f>1.05*E40</f>
        <v>26.775000000000002</v>
      </c>
      <c r="F41" s="167"/>
      <c r="G41" s="163"/>
      <c r="H41" s="163"/>
      <c r="I41" s="163"/>
      <c r="J41" s="163"/>
      <c r="K41" s="168"/>
      <c r="L41" s="169"/>
      <c r="M41" s="163"/>
      <c r="N41" s="163"/>
      <c r="O41" s="163"/>
      <c r="P41" s="168"/>
      <c r="Q41" s="51"/>
      <c r="R41" s="51"/>
      <c r="S41" s="51"/>
      <c r="T41" s="51"/>
      <c r="U41" s="51"/>
    </row>
    <row r="42" spans="1:21" s="198" customFormat="1" ht="11.25" customHeight="1">
      <c r="A42" s="156"/>
      <c r="B42" s="170"/>
      <c r="C42" s="171" t="s">
        <v>75</v>
      </c>
      <c r="D42" s="172" t="s">
        <v>78</v>
      </c>
      <c r="E42" s="173">
        <f>1.05*E41</f>
        <v>28.113750000000003</v>
      </c>
      <c r="F42" s="174"/>
      <c r="G42" s="175"/>
      <c r="H42" s="175"/>
      <c r="I42" s="175"/>
      <c r="J42" s="175"/>
      <c r="K42" s="176"/>
      <c r="L42" s="177"/>
      <c r="M42" s="175"/>
      <c r="N42" s="175"/>
      <c r="O42" s="175"/>
      <c r="P42" s="176"/>
      <c r="Q42" s="51"/>
      <c r="R42" s="51"/>
      <c r="S42" s="51"/>
      <c r="T42" s="51"/>
      <c r="U42" s="51"/>
    </row>
    <row r="43" spans="1:21" s="198" customFormat="1" ht="11.25" customHeight="1">
      <c r="A43" s="156"/>
      <c r="B43" s="170"/>
      <c r="C43" s="178" t="s">
        <v>89</v>
      </c>
      <c r="D43" s="159" t="s">
        <v>27</v>
      </c>
      <c r="E43" s="160">
        <f>0.3*E40/12</f>
        <v>0.63749999999999996</v>
      </c>
      <c r="F43" s="167"/>
      <c r="G43" s="163"/>
      <c r="H43" s="163"/>
      <c r="I43" s="163"/>
      <c r="J43" s="163"/>
      <c r="K43" s="168"/>
      <c r="L43" s="169"/>
      <c r="M43" s="163"/>
      <c r="N43" s="163"/>
      <c r="O43" s="163"/>
      <c r="P43" s="168"/>
      <c r="Q43" s="51"/>
      <c r="R43" s="51"/>
      <c r="S43" s="51"/>
      <c r="T43" s="51"/>
      <c r="U43" s="51"/>
    </row>
    <row r="44" spans="1:21" s="198" customFormat="1" ht="11.25" customHeight="1">
      <c r="A44" s="156"/>
      <c r="B44" s="170"/>
      <c r="C44" s="178" t="s">
        <v>90</v>
      </c>
      <c r="D44" s="159" t="s">
        <v>23</v>
      </c>
      <c r="E44" s="160">
        <f>E40/2</f>
        <v>12.75</v>
      </c>
      <c r="F44" s="167"/>
      <c r="G44" s="163"/>
      <c r="H44" s="163"/>
      <c r="I44" s="163"/>
      <c r="J44" s="163"/>
      <c r="K44" s="168"/>
      <c r="L44" s="169"/>
      <c r="M44" s="163"/>
      <c r="N44" s="163"/>
      <c r="O44" s="163"/>
      <c r="P44" s="168"/>
      <c r="Q44" s="51"/>
      <c r="R44" s="51"/>
      <c r="S44" s="51"/>
      <c r="T44" s="51"/>
      <c r="U44" s="51"/>
    </row>
    <row r="45" spans="1:21" s="198" customFormat="1" ht="11.25" customHeight="1">
      <c r="A45" s="301" t="s">
        <v>70</v>
      </c>
      <c r="B45" s="302" t="s">
        <v>205</v>
      </c>
      <c r="C45" s="240" t="s">
        <v>206</v>
      </c>
      <c r="D45" s="235" t="s">
        <v>176</v>
      </c>
      <c r="E45" s="241">
        <v>27.9</v>
      </c>
      <c r="F45" s="236"/>
      <c r="G45" s="242"/>
      <c r="H45" s="237"/>
      <c r="I45" s="237"/>
      <c r="J45" s="237"/>
      <c r="K45" s="238"/>
      <c r="L45" s="239"/>
      <c r="M45" s="237"/>
      <c r="N45" s="237"/>
      <c r="O45" s="237"/>
      <c r="P45" s="238"/>
      <c r="Q45" s="51"/>
      <c r="R45" s="51"/>
      <c r="S45" s="51"/>
      <c r="T45" s="51"/>
      <c r="U45" s="51"/>
    </row>
    <row r="46" spans="1:21" s="198" customFormat="1" ht="11.25" customHeight="1">
      <c r="A46" s="301"/>
      <c r="B46" s="302"/>
      <c r="C46" s="308" t="s">
        <v>207</v>
      </c>
      <c r="D46" s="303" t="s">
        <v>176</v>
      </c>
      <c r="E46" s="309">
        <f>1.05*E45</f>
        <v>29.294999999999998</v>
      </c>
      <c r="F46" s="304"/>
      <c r="G46" s="305"/>
      <c r="H46" s="305"/>
      <c r="I46" s="305"/>
      <c r="J46" s="305"/>
      <c r="K46" s="306"/>
      <c r="L46" s="307"/>
      <c r="M46" s="305"/>
      <c r="N46" s="305"/>
      <c r="O46" s="305"/>
      <c r="P46" s="306"/>
      <c r="Q46" s="51"/>
      <c r="R46" s="51"/>
      <c r="S46" s="51"/>
      <c r="T46" s="51"/>
      <c r="U46" s="51"/>
    </row>
    <row r="47" spans="1:21" s="198" customFormat="1" ht="11.25" customHeight="1">
      <c r="A47" s="301"/>
      <c r="B47" s="302"/>
      <c r="C47" s="308" t="s">
        <v>208</v>
      </c>
      <c r="D47" s="303" t="s">
        <v>27</v>
      </c>
      <c r="E47" s="309">
        <f>E45/0.4</f>
        <v>69.749999999999986</v>
      </c>
      <c r="F47" s="304"/>
      <c r="G47" s="305"/>
      <c r="H47" s="305"/>
      <c r="I47" s="305"/>
      <c r="J47" s="305"/>
      <c r="K47" s="306"/>
      <c r="L47" s="307"/>
      <c r="M47" s="305"/>
      <c r="N47" s="305"/>
      <c r="O47" s="305"/>
      <c r="P47" s="306"/>
      <c r="Q47" s="51"/>
      <c r="R47" s="51"/>
      <c r="S47" s="51"/>
      <c r="T47" s="51"/>
      <c r="U47" s="51"/>
    </row>
    <row r="48" spans="1:21" s="198" customFormat="1" ht="11.25" customHeight="1">
      <c r="A48" s="301"/>
      <c r="B48" s="302"/>
      <c r="C48" s="310" t="s">
        <v>209</v>
      </c>
      <c r="D48" s="303" t="s">
        <v>27</v>
      </c>
      <c r="E48" s="309">
        <f>(E45*0.15)*0.1/2.5</f>
        <v>0.16739999999999999</v>
      </c>
      <c r="F48" s="304"/>
      <c r="G48" s="305"/>
      <c r="H48" s="305"/>
      <c r="I48" s="305"/>
      <c r="J48" s="305"/>
      <c r="K48" s="306"/>
      <c r="L48" s="307"/>
      <c r="M48" s="305"/>
      <c r="N48" s="305"/>
      <c r="O48" s="305"/>
      <c r="P48" s="306"/>
      <c r="Q48" s="51"/>
      <c r="R48" s="51"/>
      <c r="S48" s="51"/>
      <c r="T48" s="51"/>
      <c r="U48" s="51"/>
    </row>
    <row r="49" spans="1:21" s="198" customFormat="1" ht="11.25" customHeight="1">
      <c r="A49" s="301"/>
      <c r="B49" s="302"/>
      <c r="C49" s="308" t="s">
        <v>210</v>
      </c>
      <c r="D49" s="303" t="s">
        <v>176</v>
      </c>
      <c r="E49" s="309">
        <f>0.03*E45</f>
        <v>0.83699999999999997</v>
      </c>
      <c r="F49" s="304"/>
      <c r="G49" s="305"/>
      <c r="H49" s="305"/>
      <c r="I49" s="305"/>
      <c r="J49" s="305"/>
      <c r="K49" s="306"/>
      <c r="L49" s="307"/>
      <c r="M49" s="305"/>
      <c r="N49" s="305"/>
      <c r="O49" s="305"/>
      <c r="P49" s="306"/>
      <c r="Q49" s="51"/>
      <c r="R49" s="51"/>
      <c r="S49" s="51"/>
      <c r="T49" s="51"/>
      <c r="U49" s="51"/>
    </row>
    <row r="50" spans="1:21" s="198" customFormat="1" ht="11.25" customHeight="1">
      <c r="A50" s="301"/>
      <c r="B50" s="302"/>
      <c r="C50" s="311" t="s">
        <v>211</v>
      </c>
      <c r="D50" s="303" t="s">
        <v>27</v>
      </c>
      <c r="E50" s="309">
        <f>(E45*0.2*0.2)/2.7</f>
        <v>0.41333333333333333</v>
      </c>
      <c r="F50" s="304"/>
      <c r="G50" s="305"/>
      <c r="H50" s="305"/>
      <c r="I50" s="305"/>
      <c r="J50" s="305"/>
      <c r="K50" s="306"/>
      <c r="L50" s="307"/>
      <c r="M50" s="305"/>
      <c r="N50" s="305"/>
      <c r="O50" s="305"/>
      <c r="P50" s="306"/>
      <c r="Q50" s="51"/>
      <c r="R50" s="51"/>
      <c r="S50" s="51"/>
      <c r="T50" s="51"/>
      <c r="U50" s="51"/>
    </row>
    <row r="51" spans="1:21" s="198" customFormat="1" ht="11.25" customHeight="1">
      <c r="A51" s="301"/>
      <c r="B51" s="302"/>
      <c r="C51" s="312" t="s">
        <v>212</v>
      </c>
      <c r="D51" s="303" t="s">
        <v>213</v>
      </c>
      <c r="E51" s="313">
        <f>0.1*E45</f>
        <v>2.79</v>
      </c>
      <c r="F51" s="304"/>
      <c r="G51" s="305"/>
      <c r="H51" s="305"/>
      <c r="I51" s="305"/>
      <c r="J51" s="305"/>
      <c r="K51" s="306"/>
      <c r="L51" s="307"/>
      <c r="M51" s="305"/>
      <c r="N51" s="305"/>
      <c r="O51" s="305"/>
      <c r="P51" s="306"/>
      <c r="Q51" s="51"/>
      <c r="R51" s="51"/>
      <c r="S51" s="51"/>
      <c r="T51" s="51"/>
      <c r="U51" s="51"/>
    </row>
    <row r="52" spans="1:21" s="198" customFormat="1" ht="11.25" customHeight="1">
      <c r="A52" s="486" t="s">
        <v>204</v>
      </c>
      <c r="B52" s="487"/>
      <c r="C52" s="487"/>
      <c r="D52" s="487"/>
      <c r="E52" s="488"/>
      <c r="F52" s="208"/>
      <c r="G52" s="209"/>
      <c r="H52" s="209"/>
      <c r="I52" s="209"/>
      <c r="J52" s="209"/>
      <c r="K52" s="210"/>
      <c r="L52" s="211"/>
      <c r="M52" s="211"/>
      <c r="N52" s="211"/>
      <c r="O52" s="211"/>
      <c r="P52" s="212"/>
      <c r="Q52" s="51"/>
      <c r="R52" s="51"/>
      <c r="S52" s="51"/>
      <c r="T52" s="51"/>
      <c r="U52" s="51"/>
    </row>
    <row r="53" spans="1:21" s="198" customFormat="1" ht="11.25" customHeight="1">
      <c r="A53" s="130" t="s">
        <v>3</v>
      </c>
      <c r="B53" s="131" t="s">
        <v>25</v>
      </c>
      <c r="C53" s="132" t="s">
        <v>199</v>
      </c>
      <c r="D53" s="133" t="s">
        <v>23</v>
      </c>
      <c r="E53" s="134">
        <v>27.1</v>
      </c>
      <c r="F53" s="135"/>
      <c r="G53" s="111"/>
      <c r="H53" s="136"/>
      <c r="I53" s="112"/>
      <c r="J53" s="136"/>
      <c r="K53" s="137"/>
      <c r="L53" s="138"/>
      <c r="M53" s="136"/>
      <c r="N53" s="136"/>
      <c r="O53" s="136"/>
      <c r="P53" s="137"/>
      <c r="Q53" s="51"/>
      <c r="R53" s="51"/>
      <c r="S53" s="51"/>
      <c r="T53" s="51"/>
      <c r="U53" s="51"/>
    </row>
    <row r="54" spans="1:21" s="198" customFormat="1" ht="11.25" customHeight="1">
      <c r="A54" s="130" t="s">
        <v>29</v>
      </c>
      <c r="B54" s="131" t="s">
        <v>25</v>
      </c>
      <c r="C54" s="132" t="s">
        <v>84</v>
      </c>
      <c r="D54" s="133" t="s">
        <v>24</v>
      </c>
      <c r="E54" s="134">
        <v>22.9</v>
      </c>
      <c r="F54" s="135"/>
      <c r="G54" s="111"/>
      <c r="H54" s="136"/>
      <c r="I54" s="136"/>
      <c r="J54" s="136"/>
      <c r="K54" s="137"/>
      <c r="L54" s="138"/>
      <c r="M54" s="136"/>
      <c r="N54" s="136"/>
      <c r="O54" s="136"/>
      <c r="P54" s="137"/>
      <c r="Q54" s="51"/>
      <c r="R54" s="51"/>
      <c r="S54" s="51"/>
      <c r="T54" s="51"/>
      <c r="U54" s="51"/>
    </row>
    <row r="55" spans="1:21" s="198" customFormat="1" ht="11.25" customHeight="1">
      <c r="A55" s="130" t="s">
        <v>47</v>
      </c>
      <c r="B55" s="131" t="s">
        <v>25</v>
      </c>
      <c r="C55" s="107" t="s">
        <v>91</v>
      </c>
      <c r="D55" s="139" t="s">
        <v>24</v>
      </c>
      <c r="E55" s="134">
        <v>22.9</v>
      </c>
      <c r="F55" s="140"/>
      <c r="G55" s="141"/>
      <c r="H55" s="141"/>
      <c r="I55" s="112"/>
      <c r="J55" s="141"/>
      <c r="K55" s="142"/>
      <c r="L55" s="143"/>
      <c r="M55" s="141"/>
      <c r="N55" s="141"/>
      <c r="O55" s="141"/>
      <c r="P55" s="142"/>
      <c r="Q55" s="51"/>
      <c r="R55" s="51"/>
      <c r="S55" s="51"/>
      <c r="T55" s="51"/>
      <c r="U55" s="51"/>
    </row>
    <row r="56" spans="1:21" s="198" customFormat="1" ht="11.25" customHeight="1">
      <c r="A56" s="156"/>
      <c r="B56" s="157"/>
      <c r="C56" s="254" t="s">
        <v>85</v>
      </c>
      <c r="D56" s="159" t="s">
        <v>28</v>
      </c>
      <c r="E56" s="160">
        <v>12</v>
      </c>
      <c r="F56" s="161"/>
      <c r="G56" s="162"/>
      <c r="H56" s="162"/>
      <c r="I56" s="163"/>
      <c r="J56" s="162"/>
      <c r="K56" s="164"/>
      <c r="L56" s="165"/>
      <c r="M56" s="162"/>
      <c r="N56" s="162"/>
      <c r="O56" s="162"/>
      <c r="P56" s="164"/>
      <c r="Q56" s="51"/>
      <c r="R56" s="51"/>
      <c r="S56" s="51"/>
      <c r="T56" s="51"/>
      <c r="U56" s="51"/>
    </row>
    <row r="57" spans="1:21" s="198" customFormat="1" ht="11.25" customHeight="1">
      <c r="A57" s="130" t="s">
        <v>48</v>
      </c>
      <c r="B57" s="257" t="s">
        <v>86</v>
      </c>
      <c r="C57" s="146" t="s">
        <v>200</v>
      </c>
      <c r="D57" s="139" t="s">
        <v>24</v>
      </c>
      <c r="E57" s="134">
        <v>22.9</v>
      </c>
      <c r="F57" s="147"/>
      <c r="G57" s="141"/>
      <c r="H57" s="144"/>
      <c r="I57" s="112"/>
      <c r="J57" s="144"/>
      <c r="K57" s="148"/>
      <c r="L57" s="149"/>
      <c r="M57" s="144"/>
      <c r="N57" s="144"/>
      <c r="O57" s="144"/>
      <c r="P57" s="148"/>
      <c r="Q57" s="51"/>
      <c r="R57" s="51"/>
      <c r="S57" s="51"/>
      <c r="T57" s="51"/>
      <c r="U57" s="51"/>
    </row>
    <row r="58" spans="1:21" s="198" customFormat="1" ht="35.25" customHeight="1">
      <c r="A58" s="156"/>
      <c r="B58" s="170"/>
      <c r="C58" s="158" t="s">
        <v>88</v>
      </c>
      <c r="D58" s="159" t="s">
        <v>24</v>
      </c>
      <c r="E58" s="160">
        <f>1.05*E57</f>
        <v>24.044999999999998</v>
      </c>
      <c r="F58" s="167"/>
      <c r="G58" s="163"/>
      <c r="H58" s="163"/>
      <c r="I58" s="163"/>
      <c r="J58" s="163"/>
      <c r="K58" s="168"/>
      <c r="L58" s="169"/>
      <c r="M58" s="163"/>
      <c r="N58" s="163"/>
      <c r="O58" s="163"/>
      <c r="P58" s="168"/>
      <c r="Q58" s="51"/>
      <c r="R58" s="51"/>
      <c r="S58" s="51"/>
      <c r="T58" s="51"/>
      <c r="U58" s="51"/>
    </row>
    <row r="59" spans="1:21" s="198" customFormat="1" ht="11.25" customHeight="1">
      <c r="A59" s="156"/>
      <c r="B59" s="170"/>
      <c r="C59" s="171" t="s">
        <v>75</v>
      </c>
      <c r="D59" s="172" t="s">
        <v>78</v>
      </c>
      <c r="E59" s="173">
        <f>1.05*E58</f>
        <v>25.247249999999998</v>
      </c>
      <c r="F59" s="174"/>
      <c r="G59" s="175"/>
      <c r="H59" s="175"/>
      <c r="I59" s="175"/>
      <c r="J59" s="175"/>
      <c r="K59" s="176"/>
      <c r="L59" s="177"/>
      <c r="M59" s="175"/>
      <c r="N59" s="175"/>
      <c r="O59" s="175"/>
      <c r="P59" s="176"/>
      <c r="Q59" s="51"/>
      <c r="R59" s="51"/>
      <c r="S59" s="51"/>
      <c r="T59" s="51"/>
      <c r="U59" s="51"/>
    </row>
    <row r="60" spans="1:21" s="198" customFormat="1" ht="11.25" customHeight="1">
      <c r="A60" s="156"/>
      <c r="B60" s="170"/>
      <c r="C60" s="178" t="s">
        <v>89</v>
      </c>
      <c r="D60" s="159" t="s">
        <v>27</v>
      </c>
      <c r="E60" s="160">
        <f>0.3*E57/12</f>
        <v>0.5724999999999999</v>
      </c>
      <c r="F60" s="167"/>
      <c r="G60" s="163"/>
      <c r="H60" s="163"/>
      <c r="I60" s="163"/>
      <c r="J60" s="163"/>
      <c r="K60" s="168"/>
      <c r="L60" s="169"/>
      <c r="M60" s="163"/>
      <c r="N60" s="163"/>
      <c r="O60" s="163"/>
      <c r="P60" s="168"/>
      <c r="Q60" s="51"/>
      <c r="R60" s="51"/>
      <c r="S60" s="51"/>
      <c r="T60" s="51"/>
      <c r="U60" s="51"/>
    </row>
    <row r="61" spans="1:21" s="198" customFormat="1" ht="11.25" customHeight="1">
      <c r="A61" s="156"/>
      <c r="B61" s="170"/>
      <c r="C61" s="178" t="s">
        <v>90</v>
      </c>
      <c r="D61" s="159" t="s">
        <v>23</v>
      </c>
      <c r="E61" s="160">
        <f>E57/2</f>
        <v>11.45</v>
      </c>
      <c r="F61" s="167"/>
      <c r="G61" s="163"/>
      <c r="H61" s="163"/>
      <c r="I61" s="163"/>
      <c r="J61" s="163"/>
      <c r="K61" s="168"/>
      <c r="L61" s="169"/>
      <c r="M61" s="163"/>
      <c r="N61" s="163"/>
      <c r="O61" s="163"/>
      <c r="P61" s="168"/>
      <c r="Q61" s="51"/>
      <c r="R61" s="51"/>
      <c r="S61" s="51"/>
      <c r="T61" s="51"/>
      <c r="U61" s="51"/>
    </row>
    <row r="62" spans="1:21" s="198" customFormat="1" ht="11.25" customHeight="1">
      <c r="A62" s="214" t="s">
        <v>70</v>
      </c>
      <c r="B62" s="215" t="s">
        <v>205</v>
      </c>
      <c r="C62" s="240" t="s">
        <v>206</v>
      </c>
      <c r="D62" s="235" t="s">
        <v>176</v>
      </c>
      <c r="E62" s="241">
        <v>27.1</v>
      </c>
      <c r="F62" s="236"/>
      <c r="G62" s="242"/>
      <c r="H62" s="237"/>
      <c r="I62" s="237"/>
      <c r="J62" s="237"/>
      <c r="K62" s="238"/>
      <c r="L62" s="239"/>
      <c r="M62" s="237"/>
      <c r="N62" s="237"/>
      <c r="O62" s="237"/>
      <c r="P62" s="238"/>
      <c r="Q62" s="51"/>
      <c r="R62" s="51"/>
      <c r="S62" s="51"/>
      <c r="T62" s="51"/>
      <c r="U62" s="51"/>
    </row>
    <row r="63" spans="1:21" s="198" customFormat="1" ht="11.25" customHeight="1">
      <c r="A63" s="214"/>
      <c r="B63" s="215"/>
      <c r="C63" s="308" t="s">
        <v>207</v>
      </c>
      <c r="D63" s="303" t="s">
        <v>176</v>
      </c>
      <c r="E63" s="309">
        <f>1.05*E62</f>
        <v>28.455000000000002</v>
      </c>
      <c r="F63" s="304"/>
      <c r="G63" s="305"/>
      <c r="H63" s="305"/>
      <c r="I63" s="305"/>
      <c r="J63" s="305"/>
      <c r="K63" s="306"/>
      <c r="L63" s="307"/>
      <c r="M63" s="305"/>
      <c r="N63" s="305"/>
      <c r="O63" s="305"/>
      <c r="P63" s="306"/>
      <c r="Q63" s="51"/>
      <c r="R63" s="51"/>
      <c r="S63" s="51"/>
      <c r="T63" s="51"/>
      <c r="U63" s="51"/>
    </row>
    <row r="64" spans="1:21" s="198" customFormat="1" ht="11.25" customHeight="1">
      <c r="A64" s="214"/>
      <c r="B64" s="215"/>
      <c r="C64" s="308" t="s">
        <v>208</v>
      </c>
      <c r="D64" s="303" t="s">
        <v>27</v>
      </c>
      <c r="E64" s="309">
        <f>E62/0.4</f>
        <v>67.75</v>
      </c>
      <c r="F64" s="304"/>
      <c r="G64" s="305"/>
      <c r="H64" s="305"/>
      <c r="I64" s="305"/>
      <c r="J64" s="305"/>
      <c r="K64" s="306"/>
      <c r="L64" s="307"/>
      <c r="M64" s="305"/>
      <c r="N64" s="305"/>
      <c r="O64" s="305"/>
      <c r="P64" s="306"/>
      <c r="Q64" s="51"/>
      <c r="R64" s="51"/>
      <c r="S64" s="51"/>
      <c r="T64" s="51"/>
      <c r="U64" s="51"/>
    </row>
    <row r="65" spans="1:21" s="198" customFormat="1" ht="11.25" customHeight="1">
      <c r="A65" s="214"/>
      <c r="B65" s="215"/>
      <c r="C65" s="310" t="s">
        <v>209</v>
      </c>
      <c r="D65" s="303" t="s">
        <v>27</v>
      </c>
      <c r="E65" s="309">
        <f>(E62*0.15)*0.1/2.5</f>
        <v>0.16260000000000002</v>
      </c>
      <c r="F65" s="304"/>
      <c r="G65" s="305"/>
      <c r="H65" s="305"/>
      <c r="I65" s="305"/>
      <c r="J65" s="305"/>
      <c r="K65" s="306"/>
      <c r="L65" s="307"/>
      <c r="M65" s="305"/>
      <c r="N65" s="305"/>
      <c r="O65" s="305"/>
      <c r="P65" s="306"/>
      <c r="Q65" s="51"/>
      <c r="R65" s="51"/>
      <c r="S65" s="51"/>
      <c r="T65" s="51"/>
      <c r="U65" s="51"/>
    </row>
    <row r="66" spans="1:21" s="198" customFormat="1" ht="11.25" customHeight="1">
      <c r="A66" s="214"/>
      <c r="B66" s="215"/>
      <c r="C66" s="308" t="s">
        <v>210</v>
      </c>
      <c r="D66" s="303" t="s">
        <v>176</v>
      </c>
      <c r="E66" s="309">
        <f>0.03*E62</f>
        <v>0.81300000000000006</v>
      </c>
      <c r="F66" s="304"/>
      <c r="G66" s="305"/>
      <c r="H66" s="305"/>
      <c r="I66" s="305"/>
      <c r="J66" s="305"/>
      <c r="K66" s="306"/>
      <c r="L66" s="307"/>
      <c r="M66" s="305"/>
      <c r="N66" s="305"/>
      <c r="O66" s="305"/>
      <c r="P66" s="306"/>
      <c r="Q66" s="51"/>
      <c r="R66" s="51"/>
      <c r="S66" s="51"/>
      <c r="T66" s="51"/>
      <c r="U66" s="51"/>
    </row>
    <row r="67" spans="1:21" s="198" customFormat="1" ht="11.25" customHeight="1">
      <c r="A67" s="214"/>
      <c r="B67" s="215"/>
      <c r="C67" s="311" t="s">
        <v>211</v>
      </c>
      <c r="D67" s="303" t="s">
        <v>27</v>
      </c>
      <c r="E67" s="309">
        <f>(E62*0.2*0.2)/2.7</f>
        <v>0.40148148148148155</v>
      </c>
      <c r="F67" s="304"/>
      <c r="G67" s="305"/>
      <c r="H67" s="305"/>
      <c r="I67" s="305"/>
      <c r="J67" s="305"/>
      <c r="K67" s="306"/>
      <c r="L67" s="307"/>
      <c r="M67" s="305"/>
      <c r="N67" s="305"/>
      <c r="O67" s="305"/>
      <c r="P67" s="306"/>
      <c r="Q67" s="51"/>
      <c r="R67" s="51"/>
      <c r="S67" s="51"/>
      <c r="T67" s="51"/>
      <c r="U67" s="51"/>
    </row>
    <row r="68" spans="1:21" s="198" customFormat="1" ht="11.25" customHeight="1">
      <c r="A68" s="214"/>
      <c r="B68" s="215"/>
      <c r="C68" s="312" t="s">
        <v>212</v>
      </c>
      <c r="D68" s="303" t="s">
        <v>213</v>
      </c>
      <c r="E68" s="313">
        <f>0.1*E61</f>
        <v>1.145</v>
      </c>
      <c r="F68" s="304"/>
      <c r="G68" s="305"/>
      <c r="H68" s="305"/>
      <c r="I68" s="305"/>
      <c r="J68" s="305"/>
      <c r="K68" s="306"/>
      <c r="L68" s="307"/>
      <c r="M68" s="305"/>
      <c r="N68" s="305"/>
      <c r="O68" s="305"/>
      <c r="P68" s="306"/>
      <c r="Q68" s="51"/>
      <c r="R68" s="51"/>
      <c r="S68" s="51"/>
      <c r="T68" s="51"/>
      <c r="U68" s="51"/>
    </row>
    <row r="69" spans="1:21" s="198" customFormat="1" ht="24" customHeight="1">
      <c r="A69" s="130" t="s">
        <v>98</v>
      </c>
      <c r="B69" s="131" t="s">
        <v>25</v>
      </c>
      <c r="C69" s="107" t="s">
        <v>233</v>
      </c>
      <c r="D69" s="139" t="s">
        <v>27</v>
      </c>
      <c r="E69" s="134">
        <v>1</v>
      </c>
      <c r="F69" s="140"/>
      <c r="G69" s="141"/>
      <c r="H69" s="141"/>
      <c r="I69" s="112"/>
      <c r="J69" s="141"/>
      <c r="K69" s="142"/>
      <c r="L69" s="143"/>
      <c r="M69" s="141"/>
      <c r="N69" s="141"/>
      <c r="O69" s="141"/>
      <c r="P69" s="142"/>
      <c r="Q69" s="51"/>
      <c r="R69" s="51"/>
      <c r="S69" s="51"/>
      <c r="T69" s="51"/>
      <c r="U69" s="51"/>
    </row>
    <row r="70" spans="1:21" s="198" customFormat="1" ht="11.25" customHeight="1">
      <c r="A70" s="156"/>
      <c r="B70" s="157"/>
      <c r="C70" s="254" t="s">
        <v>234</v>
      </c>
      <c r="D70" s="159" t="s">
        <v>28</v>
      </c>
      <c r="E70" s="160">
        <v>1</v>
      </c>
      <c r="F70" s="161"/>
      <c r="G70" s="162"/>
      <c r="H70" s="162"/>
      <c r="I70" s="163"/>
      <c r="J70" s="162"/>
      <c r="K70" s="164"/>
      <c r="L70" s="165"/>
      <c r="M70" s="162"/>
      <c r="N70" s="162"/>
      <c r="O70" s="162"/>
      <c r="P70" s="164"/>
      <c r="Q70" s="51"/>
      <c r="R70" s="51"/>
      <c r="S70" s="51"/>
      <c r="T70" s="51"/>
      <c r="U70" s="51"/>
    </row>
    <row r="71" spans="1:21" s="198" customFormat="1" ht="11.25" customHeight="1">
      <c r="A71" s="486" t="s">
        <v>214</v>
      </c>
      <c r="B71" s="487"/>
      <c r="C71" s="487"/>
      <c r="D71" s="487"/>
      <c r="E71" s="488"/>
      <c r="F71" s="208"/>
      <c r="G71" s="209"/>
      <c r="H71" s="209"/>
      <c r="I71" s="209"/>
      <c r="J71" s="209"/>
      <c r="K71" s="210"/>
      <c r="L71" s="211"/>
      <c r="M71" s="211"/>
      <c r="N71" s="211"/>
      <c r="O71" s="211"/>
      <c r="P71" s="212"/>
      <c r="Q71" s="51"/>
      <c r="R71" s="51"/>
      <c r="S71" s="51"/>
      <c r="T71" s="51"/>
      <c r="U71" s="51"/>
    </row>
    <row r="72" spans="1:21" s="198" customFormat="1" ht="33.75" customHeight="1">
      <c r="A72" s="105" t="s">
        <v>3</v>
      </c>
      <c r="B72" s="213" t="s">
        <v>25</v>
      </c>
      <c r="C72" s="199" t="s">
        <v>121</v>
      </c>
      <c r="D72" s="108" t="s">
        <v>24</v>
      </c>
      <c r="E72" s="109">
        <v>46</v>
      </c>
      <c r="F72" s="110"/>
      <c r="G72" s="111"/>
      <c r="H72" s="112"/>
      <c r="I72" s="112"/>
      <c r="J72" s="111"/>
      <c r="K72" s="113"/>
      <c r="L72" s="114"/>
      <c r="M72" s="112"/>
      <c r="N72" s="112"/>
      <c r="O72" s="112"/>
      <c r="P72" s="113"/>
      <c r="Q72" s="51"/>
      <c r="R72" s="51"/>
      <c r="S72" s="51"/>
      <c r="T72" s="51"/>
      <c r="U72" s="51"/>
    </row>
    <row r="73" spans="1:21" s="198" customFormat="1" ht="11.25" customHeight="1">
      <c r="A73" s="122"/>
      <c r="B73" s="150"/>
      <c r="C73" s="151" t="s">
        <v>75</v>
      </c>
      <c r="D73" s="123" t="s">
        <v>78</v>
      </c>
      <c r="E73" s="152">
        <f>0.95*E72</f>
        <v>43.699999999999996</v>
      </c>
      <c r="F73" s="124"/>
      <c r="G73" s="126"/>
      <c r="H73" s="126"/>
      <c r="I73" s="126"/>
      <c r="J73" s="125"/>
      <c r="K73" s="127"/>
      <c r="L73" s="128"/>
      <c r="M73" s="126"/>
      <c r="N73" s="126"/>
      <c r="O73" s="126"/>
      <c r="P73" s="127"/>
      <c r="Q73" s="51"/>
      <c r="R73" s="51"/>
      <c r="S73" s="51"/>
      <c r="T73" s="51"/>
      <c r="U73" s="51"/>
    </row>
    <row r="74" spans="1:21" s="198" customFormat="1" ht="11.25" customHeight="1">
      <c r="A74" s="122"/>
      <c r="B74" s="150"/>
      <c r="C74" s="153" t="s">
        <v>76</v>
      </c>
      <c r="D74" s="123" t="s">
        <v>78</v>
      </c>
      <c r="E74" s="152">
        <f>0.25*E72</f>
        <v>11.5</v>
      </c>
      <c r="F74" s="124"/>
      <c r="G74" s="126"/>
      <c r="H74" s="126"/>
      <c r="I74" s="154"/>
      <c r="J74" s="125"/>
      <c r="K74" s="127"/>
      <c r="L74" s="128"/>
      <c r="M74" s="126"/>
      <c r="N74" s="126"/>
      <c r="O74" s="126"/>
      <c r="P74" s="127"/>
      <c r="Q74" s="51"/>
      <c r="R74" s="51"/>
      <c r="S74" s="51"/>
      <c r="T74" s="51"/>
      <c r="U74" s="51"/>
    </row>
    <row r="75" spans="1:21" s="198" customFormat="1" ht="23.25" customHeight="1">
      <c r="A75" s="122"/>
      <c r="B75" s="150"/>
      <c r="C75" s="155" t="s">
        <v>79</v>
      </c>
      <c r="D75" s="123" t="s">
        <v>78</v>
      </c>
      <c r="E75" s="152">
        <f>E72*0.45</f>
        <v>20.7</v>
      </c>
      <c r="F75" s="124"/>
      <c r="G75" s="126"/>
      <c r="H75" s="126"/>
      <c r="I75" s="126"/>
      <c r="J75" s="125"/>
      <c r="K75" s="127"/>
      <c r="L75" s="128"/>
      <c r="M75" s="126"/>
      <c r="N75" s="126"/>
      <c r="O75" s="126"/>
      <c r="P75" s="127"/>
      <c r="Q75" s="51"/>
      <c r="R75" s="51"/>
      <c r="S75" s="51"/>
      <c r="T75" s="51"/>
      <c r="U75" s="51"/>
    </row>
    <row r="76" spans="1:21" s="198" customFormat="1" ht="11.25" customHeight="1">
      <c r="A76" s="130" t="s">
        <v>3</v>
      </c>
      <c r="B76" s="131" t="s">
        <v>25</v>
      </c>
      <c r="C76" s="132" t="s">
        <v>199</v>
      </c>
      <c r="D76" s="133" t="s">
        <v>23</v>
      </c>
      <c r="E76" s="134">
        <v>15.6</v>
      </c>
      <c r="F76" s="135"/>
      <c r="G76" s="111"/>
      <c r="H76" s="136"/>
      <c r="I76" s="112"/>
      <c r="J76" s="136"/>
      <c r="K76" s="137"/>
      <c r="L76" s="138"/>
      <c r="M76" s="136"/>
      <c r="N76" s="136"/>
      <c r="O76" s="136"/>
      <c r="P76" s="137"/>
      <c r="Q76" s="51"/>
      <c r="R76" s="51"/>
      <c r="S76" s="51"/>
      <c r="T76" s="51"/>
      <c r="U76" s="51"/>
    </row>
    <row r="77" spans="1:21" s="198" customFormat="1" ht="11.25" customHeight="1">
      <c r="A77" s="130" t="s">
        <v>29</v>
      </c>
      <c r="B77" s="131" t="s">
        <v>25</v>
      </c>
      <c r="C77" s="132" t="s">
        <v>84</v>
      </c>
      <c r="D77" s="133" t="s">
        <v>24</v>
      </c>
      <c r="E77" s="134">
        <v>11.1</v>
      </c>
      <c r="F77" s="135"/>
      <c r="G77" s="111"/>
      <c r="H77" s="136"/>
      <c r="I77" s="136"/>
      <c r="J77" s="136"/>
      <c r="K77" s="137"/>
      <c r="L77" s="138"/>
      <c r="M77" s="136"/>
      <c r="N77" s="136"/>
      <c r="O77" s="136"/>
      <c r="P77" s="137"/>
      <c r="Q77" s="51"/>
      <c r="R77" s="51"/>
      <c r="S77" s="51"/>
      <c r="T77" s="51"/>
      <c r="U77" s="51"/>
    </row>
    <row r="78" spans="1:21" s="198" customFormat="1" ht="11.25" customHeight="1">
      <c r="A78" s="130" t="s">
        <v>47</v>
      </c>
      <c r="B78" s="131" t="s">
        <v>25</v>
      </c>
      <c r="C78" s="107" t="s">
        <v>91</v>
      </c>
      <c r="D78" s="139" t="s">
        <v>24</v>
      </c>
      <c r="E78" s="134">
        <v>11.1</v>
      </c>
      <c r="F78" s="140"/>
      <c r="G78" s="141"/>
      <c r="H78" s="141"/>
      <c r="I78" s="112"/>
      <c r="J78" s="141"/>
      <c r="K78" s="142"/>
      <c r="L78" s="143"/>
      <c r="M78" s="141"/>
      <c r="N78" s="141"/>
      <c r="O78" s="141"/>
      <c r="P78" s="142"/>
      <c r="Q78" s="51"/>
      <c r="R78" s="51"/>
      <c r="S78" s="51"/>
      <c r="T78" s="51"/>
      <c r="U78" s="51"/>
    </row>
    <row r="79" spans="1:21" s="198" customFormat="1" ht="11.25" customHeight="1">
      <c r="A79" s="156"/>
      <c r="B79" s="157"/>
      <c r="C79" s="254" t="s">
        <v>85</v>
      </c>
      <c r="D79" s="159" t="s">
        <v>28</v>
      </c>
      <c r="E79" s="160">
        <v>12</v>
      </c>
      <c r="F79" s="161"/>
      <c r="G79" s="162"/>
      <c r="H79" s="162"/>
      <c r="I79" s="163"/>
      <c r="J79" s="162"/>
      <c r="K79" s="164"/>
      <c r="L79" s="165"/>
      <c r="M79" s="162"/>
      <c r="N79" s="162"/>
      <c r="O79" s="162"/>
      <c r="P79" s="164"/>
      <c r="Q79" s="51"/>
      <c r="R79" s="51"/>
      <c r="S79" s="51"/>
      <c r="T79" s="51"/>
      <c r="U79" s="51"/>
    </row>
    <row r="80" spans="1:21" s="198" customFormat="1" ht="11.25" customHeight="1">
      <c r="A80" s="130" t="s">
        <v>48</v>
      </c>
      <c r="B80" s="257" t="s">
        <v>86</v>
      </c>
      <c r="C80" s="146" t="s">
        <v>200</v>
      </c>
      <c r="D80" s="139" t="s">
        <v>24</v>
      </c>
      <c r="E80" s="134">
        <v>11.1</v>
      </c>
      <c r="F80" s="147"/>
      <c r="G80" s="141"/>
      <c r="H80" s="144"/>
      <c r="I80" s="112"/>
      <c r="J80" s="144"/>
      <c r="K80" s="148"/>
      <c r="L80" s="149"/>
      <c r="M80" s="144"/>
      <c r="N80" s="144"/>
      <c r="O80" s="144"/>
      <c r="P80" s="148"/>
      <c r="Q80" s="51"/>
      <c r="R80" s="51"/>
      <c r="S80" s="51"/>
      <c r="T80" s="51"/>
      <c r="U80" s="51"/>
    </row>
    <row r="81" spans="1:21" s="198" customFormat="1" ht="11.25" customHeight="1">
      <c r="A81" s="414"/>
      <c r="B81" s="415"/>
      <c r="C81" s="416" t="s">
        <v>88</v>
      </c>
      <c r="D81" s="417" t="s">
        <v>24</v>
      </c>
      <c r="E81" s="418">
        <f>1.05*E80</f>
        <v>11.654999999999999</v>
      </c>
      <c r="F81" s="419"/>
      <c r="G81" s="420"/>
      <c r="H81" s="420"/>
      <c r="I81" s="420"/>
      <c r="J81" s="420"/>
      <c r="K81" s="421"/>
      <c r="L81" s="422"/>
      <c r="M81" s="420"/>
      <c r="N81" s="420"/>
      <c r="O81" s="420"/>
      <c r="P81" s="421"/>
      <c r="Q81" s="51"/>
      <c r="R81" s="51"/>
      <c r="S81" s="51"/>
      <c r="T81" s="51"/>
      <c r="U81" s="51"/>
    </row>
    <row r="82" spans="1:21" s="198" customFormat="1" ht="11.25" customHeight="1">
      <c r="A82" s="414"/>
      <c r="B82" s="415"/>
      <c r="C82" s="423" t="s">
        <v>75</v>
      </c>
      <c r="D82" s="424" t="s">
        <v>78</v>
      </c>
      <c r="E82" s="425">
        <f>1.05*E81</f>
        <v>12.23775</v>
      </c>
      <c r="F82" s="426"/>
      <c r="G82" s="427"/>
      <c r="H82" s="427"/>
      <c r="I82" s="427"/>
      <c r="J82" s="427"/>
      <c r="K82" s="428"/>
      <c r="L82" s="429"/>
      <c r="M82" s="427"/>
      <c r="N82" s="427"/>
      <c r="O82" s="427"/>
      <c r="P82" s="428"/>
      <c r="Q82" s="51"/>
      <c r="R82" s="51"/>
      <c r="S82" s="51"/>
      <c r="T82" s="51"/>
      <c r="U82" s="51"/>
    </row>
    <row r="83" spans="1:21" s="198" customFormat="1" ht="11.25" customHeight="1">
      <c r="A83" s="414"/>
      <c r="B83" s="415"/>
      <c r="C83" s="430" t="s">
        <v>89</v>
      </c>
      <c r="D83" s="417" t="s">
        <v>27</v>
      </c>
      <c r="E83" s="418">
        <f>0.3*E80/12</f>
        <v>0.27749999999999997</v>
      </c>
      <c r="F83" s="419"/>
      <c r="G83" s="420"/>
      <c r="H83" s="420"/>
      <c r="I83" s="420"/>
      <c r="J83" s="420"/>
      <c r="K83" s="421"/>
      <c r="L83" s="422"/>
      <c r="M83" s="420"/>
      <c r="N83" s="420"/>
      <c r="O83" s="420"/>
      <c r="P83" s="421"/>
      <c r="Q83" s="51"/>
      <c r="R83" s="51"/>
      <c r="S83" s="51"/>
      <c r="T83" s="51"/>
      <c r="U83" s="51"/>
    </row>
    <row r="84" spans="1:21" s="198" customFormat="1" ht="11.25" customHeight="1">
      <c r="A84" s="414"/>
      <c r="B84" s="415"/>
      <c r="C84" s="430" t="s">
        <v>90</v>
      </c>
      <c r="D84" s="417" t="s">
        <v>23</v>
      </c>
      <c r="E84" s="418">
        <f>E80/2</f>
        <v>5.55</v>
      </c>
      <c r="F84" s="419"/>
      <c r="G84" s="420"/>
      <c r="H84" s="420"/>
      <c r="I84" s="420"/>
      <c r="J84" s="420"/>
      <c r="K84" s="421"/>
      <c r="L84" s="422"/>
      <c r="M84" s="420"/>
      <c r="N84" s="420"/>
      <c r="O84" s="420"/>
      <c r="P84" s="421"/>
      <c r="Q84" s="51"/>
      <c r="R84" s="51"/>
      <c r="S84" s="51"/>
      <c r="T84" s="51"/>
      <c r="U84" s="51"/>
    </row>
    <row r="85" spans="1:21" s="198" customFormat="1" ht="11.25" customHeight="1">
      <c r="A85" s="214" t="s">
        <v>70</v>
      </c>
      <c r="B85" s="215" t="s">
        <v>205</v>
      </c>
      <c r="C85" s="240" t="s">
        <v>206</v>
      </c>
      <c r="D85" s="235" t="s">
        <v>176</v>
      </c>
      <c r="E85" s="241">
        <v>15.6</v>
      </c>
      <c r="F85" s="236"/>
      <c r="G85" s="242"/>
      <c r="H85" s="237"/>
      <c r="I85" s="237"/>
      <c r="J85" s="237"/>
      <c r="K85" s="238"/>
      <c r="L85" s="239"/>
      <c r="M85" s="237"/>
      <c r="N85" s="237"/>
      <c r="O85" s="237"/>
      <c r="P85" s="238"/>
      <c r="Q85" s="51"/>
      <c r="R85" s="51"/>
      <c r="S85" s="51"/>
      <c r="T85" s="51"/>
      <c r="U85" s="51"/>
    </row>
    <row r="86" spans="1:21" s="198" customFormat="1" ht="11.25" customHeight="1">
      <c r="A86" s="402"/>
      <c r="B86" s="403"/>
      <c r="C86" s="404" t="s">
        <v>207</v>
      </c>
      <c r="D86" s="405" t="s">
        <v>176</v>
      </c>
      <c r="E86" s="406">
        <f>1.05*E85</f>
        <v>16.38</v>
      </c>
      <c r="F86" s="407"/>
      <c r="G86" s="408"/>
      <c r="H86" s="408"/>
      <c r="I86" s="408"/>
      <c r="J86" s="408"/>
      <c r="K86" s="409"/>
      <c r="L86" s="410"/>
      <c r="M86" s="408"/>
      <c r="N86" s="408"/>
      <c r="O86" s="408"/>
      <c r="P86" s="409"/>
      <c r="Q86" s="51"/>
      <c r="R86" s="51"/>
      <c r="S86" s="51"/>
      <c r="T86" s="51"/>
      <c r="U86" s="51"/>
    </row>
    <row r="87" spans="1:21" s="198" customFormat="1" ht="11.25" customHeight="1">
      <c r="A87" s="402"/>
      <c r="B87" s="403"/>
      <c r="C87" s="404" t="s">
        <v>208</v>
      </c>
      <c r="D87" s="405" t="s">
        <v>27</v>
      </c>
      <c r="E87" s="406">
        <f>E85/0.4</f>
        <v>39</v>
      </c>
      <c r="F87" s="407"/>
      <c r="G87" s="408"/>
      <c r="H87" s="408"/>
      <c r="I87" s="408"/>
      <c r="J87" s="408"/>
      <c r="K87" s="409"/>
      <c r="L87" s="410"/>
      <c r="M87" s="408"/>
      <c r="N87" s="408"/>
      <c r="O87" s="408"/>
      <c r="P87" s="409"/>
      <c r="Q87" s="51"/>
      <c r="R87" s="51"/>
      <c r="S87" s="51"/>
      <c r="T87" s="51"/>
      <c r="U87" s="51"/>
    </row>
    <row r="88" spans="1:21" s="198" customFormat="1" ht="11.25" customHeight="1">
      <c r="A88" s="402"/>
      <c r="B88" s="403"/>
      <c r="C88" s="411" t="s">
        <v>209</v>
      </c>
      <c r="D88" s="405" t="s">
        <v>27</v>
      </c>
      <c r="E88" s="406">
        <f>(E85*0.15)*0.1/2.5</f>
        <v>9.3599999999999989E-2</v>
      </c>
      <c r="F88" s="407"/>
      <c r="G88" s="408"/>
      <c r="H88" s="408"/>
      <c r="I88" s="408"/>
      <c r="J88" s="408"/>
      <c r="K88" s="409"/>
      <c r="L88" s="410"/>
      <c r="M88" s="408"/>
      <c r="N88" s="408"/>
      <c r="O88" s="408"/>
      <c r="P88" s="409"/>
      <c r="Q88" s="51"/>
      <c r="R88" s="51"/>
      <c r="S88" s="51"/>
      <c r="T88" s="51"/>
      <c r="U88" s="51"/>
    </row>
    <row r="89" spans="1:21" s="198" customFormat="1" ht="11.25" customHeight="1">
      <c r="A89" s="402"/>
      <c r="B89" s="403"/>
      <c r="C89" s="404" t="s">
        <v>210</v>
      </c>
      <c r="D89" s="405" t="s">
        <v>176</v>
      </c>
      <c r="E89" s="406">
        <f>0.03*E85</f>
        <v>0.46799999999999997</v>
      </c>
      <c r="F89" s="407"/>
      <c r="G89" s="408"/>
      <c r="H89" s="408"/>
      <c r="I89" s="408"/>
      <c r="J89" s="408"/>
      <c r="K89" s="409"/>
      <c r="L89" s="410"/>
      <c r="M89" s="408"/>
      <c r="N89" s="408"/>
      <c r="O89" s="408"/>
      <c r="P89" s="409"/>
      <c r="Q89" s="51"/>
      <c r="R89" s="51"/>
      <c r="S89" s="51"/>
      <c r="T89" s="51"/>
      <c r="U89" s="51"/>
    </row>
    <row r="90" spans="1:21" s="198" customFormat="1" ht="11.25" customHeight="1">
      <c r="A90" s="402"/>
      <c r="B90" s="403"/>
      <c r="C90" s="412" t="s">
        <v>211</v>
      </c>
      <c r="D90" s="405" t="s">
        <v>27</v>
      </c>
      <c r="E90" s="406">
        <f>(E85*0.2*0.2)/2.7</f>
        <v>0.23111111111111113</v>
      </c>
      <c r="F90" s="407"/>
      <c r="G90" s="408"/>
      <c r="H90" s="408"/>
      <c r="I90" s="408"/>
      <c r="J90" s="408"/>
      <c r="K90" s="409"/>
      <c r="L90" s="410"/>
      <c r="M90" s="408"/>
      <c r="N90" s="408"/>
      <c r="O90" s="408"/>
      <c r="P90" s="409"/>
      <c r="Q90" s="51"/>
      <c r="R90" s="51"/>
      <c r="S90" s="51"/>
      <c r="T90" s="51"/>
      <c r="U90" s="51"/>
    </row>
    <row r="91" spans="1:21" s="198" customFormat="1" ht="11.25" customHeight="1">
      <c r="A91" s="402"/>
      <c r="B91" s="403"/>
      <c r="C91" s="413" t="s">
        <v>212</v>
      </c>
      <c r="D91" s="405" t="s">
        <v>213</v>
      </c>
      <c r="E91" s="399">
        <f>0.1*E85</f>
        <v>1.56</v>
      </c>
      <c r="F91" s="407"/>
      <c r="G91" s="408"/>
      <c r="H91" s="408"/>
      <c r="I91" s="408"/>
      <c r="J91" s="408"/>
      <c r="K91" s="409"/>
      <c r="L91" s="410"/>
      <c r="M91" s="408"/>
      <c r="N91" s="408"/>
      <c r="O91" s="408"/>
      <c r="P91" s="409"/>
      <c r="Q91" s="51"/>
      <c r="R91" s="51"/>
      <c r="S91" s="51"/>
      <c r="T91" s="51"/>
      <c r="U91" s="51"/>
    </row>
    <row r="92" spans="1:21" s="198" customFormat="1" ht="24" customHeight="1">
      <c r="A92" s="314">
        <v>11</v>
      </c>
      <c r="B92" s="315" t="s">
        <v>215</v>
      </c>
      <c r="C92" s="322" t="s">
        <v>232</v>
      </c>
      <c r="D92" s="321" t="s">
        <v>216</v>
      </c>
      <c r="E92" s="316">
        <v>1.1000000000000001</v>
      </c>
      <c r="F92" s="317"/>
      <c r="G92" s="318"/>
      <c r="H92" s="318"/>
      <c r="I92" s="318"/>
      <c r="J92" s="318"/>
      <c r="K92" s="319"/>
      <c r="L92" s="320"/>
      <c r="M92" s="318"/>
      <c r="N92" s="318"/>
      <c r="O92" s="318"/>
      <c r="P92" s="319"/>
      <c r="Q92" s="51"/>
      <c r="R92" s="51"/>
      <c r="S92" s="51"/>
      <c r="T92" s="51"/>
      <c r="U92" s="51"/>
    </row>
    <row r="93" spans="1:21" s="198" customFormat="1" ht="11.25" customHeight="1">
      <c r="A93" s="353"/>
      <c r="B93" s="354"/>
      <c r="C93" s="362" t="s">
        <v>217</v>
      </c>
      <c r="D93" s="393" t="s">
        <v>28</v>
      </c>
      <c r="E93" s="394">
        <f>0.7*1.1*E92/3</f>
        <v>0.28233333333333338</v>
      </c>
      <c r="F93" s="395"/>
      <c r="G93" s="396"/>
      <c r="H93" s="396"/>
      <c r="I93" s="396"/>
      <c r="J93" s="396"/>
      <c r="K93" s="397"/>
      <c r="L93" s="398"/>
      <c r="M93" s="396"/>
      <c r="N93" s="396"/>
      <c r="O93" s="396"/>
      <c r="P93" s="397"/>
      <c r="Q93" s="51"/>
      <c r="R93" s="51"/>
      <c r="S93" s="51"/>
      <c r="T93" s="51"/>
      <c r="U93" s="51"/>
    </row>
    <row r="94" spans="1:21" s="198" customFormat="1" ht="11.25" customHeight="1">
      <c r="A94" s="353"/>
      <c r="B94" s="354"/>
      <c r="C94" s="362" t="s">
        <v>218</v>
      </c>
      <c r="D94" s="393" t="s">
        <v>28</v>
      </c>
      <c r="E94" s="394">
        <f>E93*10</f>
        <v>2.8233333333333337</v>
      </c>
      <c r="F94" s="395"/>
      <c r="G94" s="396"/>
      <c r="H94" s="396"/>
      <c r="I94" s="396"/>
      <c r="J94" s="396"/>
      <c r="K94" s="397"/>
      <c r="L94" s="398"/>
      <c r="M94" s="396"/>
      <c r="N94" s="396"/>
      <c r="O94" s="396"/>
      <c r="P94" s="397"/>
      <c r="Q94" s="51"/>
      <c r="R94" s="51"/>
      <c r="S94" s="51"/>
      <c r="T94" s="51"/>
      <c r="U94" s="51"/>
    </row>
    <row r="95" spans="1:21" s="198" customFormat="1" ht="11.25" customHeight="1">
      <c r="A95" s="353"/>
      <c r="B95" s="354"/>
      <c r="C95" s="362" t="s">
        <v>219</v>
      </c>
      <c r="D95" s="393" t="s">
        <v>28</v>
      </c>
      <c r="E95" s="394">
        <f>E93*3/30</f>
        <v>2.8233333333333339E-2</v>
      </c>
      <c r="F95" s="395"/>
      <c r="G95" s="396"/>
      <c r="H95" s="396"/>
      <c r="I95" s="396"/>
      <c r="J95" s="396"/>
      <c r="K95" s="397"/>
      <c r="L95" s="398"/>
      <c r="M95" s="396"/>
      <c r="N95" s="396"/>
      <c r="O95" s="396"/>
      <c r="P95" s="397"/>
      <c r="Q95" s="51"/>
      <c r="R95" s="51"/>
      <c r="S95" s="51"/>
      <c r="T95" s="51"/>
      <c r="U95" s="51"/>
    </row>
    <row r="96" spans="1:21" s="198" customFormat="1" ht="11.25" customHeight="1">
      <c r="A96" s="353"/>
      <c r="B96" s="354"/>
      <c r="C96" s="362" t="s">
        <v>220</v>
      </c>
      <c r="D96" s="393" t="s">
        <v>28</v>
      </c>
      <c r="E96" s="394">
        <f>2*1.1*E92/3</f>
        <v>0.80666666666666675</v>
      </c>
      <c r="F96" s="395"/>
      <c r="G96" s="396"/>
      <c r="H96" s="396"/>
      <c r="I96" s="396"/>
      <c r="J96" s="396"/>
      <c r="K96" s="397"/>
      <c r="L96" s="398"/>
      <c r="M96" s="396"/>
      <c r="N96" s="396"/>
      <c r="O96" s="396"/>
      <c r="P96" s="397"/>
      <c r="Q96" s="51"/>
      <c r="R96" s="51"/>
      <c r="S96" s="51"/>
      <c r="T96" s="51"/>
      <c r="U96" s="51"/>
    </row>
    <row r="97" spans="1:21" s="198" customFormat="1" ht="11.25" customHeight="1">
      <c r="A97" s="353"/>
      <c r="B97" s="354"/>
      <c r="C97" s="362" t="s">
        <v>221</v>
      </c>
      <c r="D97" s="393" t="s">
        <v>28</v>
      </c>
      <c r="E97" s="394">
        <f>E92/10</f>
        <v>0.11000000000000001</v>
      </c>
      <c r="F97" s="395"/>
      <c r="G97" s="396"/>
      <c r="H97" s="396"/>
      <c r="I97" s="396"/>
      <c r="J97" s="396"/>
      <c r="K97" s="397"/>
      <c r="L97" s="398"/>
      <c r="M97" s="396"/>
      <c r="N97" s="396"/>
      <c r="O97" s="396"/>
      <c r="P97" s="397"/>
      <c r="Q97" s="51"/>
      <c r="R97" s="51"/>
      <c r="S97" s="51"/>
      <c r="T97" s="51"/>
      <c r="U97" s="51"/>
    </row>
    <row r="98" spans="1:21" s="198" customFormat="1" ht="11.25" customHeight="1">
      <c r="A98" s="353"/>
      <c r="B98" s="354"/>
      <c r="C98" s="362" t="s">
        <v>222</v>
      </c>
      <c r="D98" s="393" t="s">
        <v>28</v>
      </c>
      <c r="E98" s="399">
        <f>E96*0.7*1.1</f>
        <v>0.62113333333333332</v>
      </c>
      <c r="F98" s="395"/>
      <c r="G98" s="396"/>
      <c r="H98" s="396"/>
      <c r="I98" s="400"/>
      <c r="J98" s="396"/>
      <c r="K98" s="397"/>
      <c r="L98" s="398"/>
      <c r="M98" s="396"/>
      <c r="N98" s="396"/>
      <c r="O98" s="396"/>
      <c r="P98" s="397"/>
      <c r="Q98" s="51"/>
      <c r="R98" s="51"/>
      <c r="S98" s="51"/>
      <c r="T98" s="51"/>
      <c r="U98" s="51"/>
    </row>
    <row r="99" spans="1:21" s="198" customFormat="1" ht="11.25" customHeight="1">
      <c r="A99" s="353"/>
      <c r="B99" s="354"/>
      <c r="C99" s="362" t="s">
        <v>218</v>
      </c>
      <c r="D99" s="393" t="s">
        <v>28</v>
      </c>
      <c r="E99" s="394">
        <f>E98*2</f>
        <v>1.2422666666666666</v>
      </c>
      <c r="F99" s="395"/>
      <c r="G99" s="396"/>
      <c r="H99" s="396"/>
      <c r="I99" s="396"/>
      <c r="J99" s="396"/>
      <c r="K99" s="397"/>
      <c r="L99" s="398"/>
      <c r="M99" s="396"/>
      <c r="N99" s="396"/>
      <c r="O99" s="396"/>
      <c r="P99" s="397"/>
      <c r="Q99" s="51"/>
      <c r="R99" s="51"/>
      <c r="S99" s="51"/>
      <c r="T99" s="51"/>
      <c r="U99" s="51"/>
    </row>
    <row r="100" spans="1:21" s="198" customFormat="1" ht="11.25" customHeight="1">
      <c r="A100" s="353"/>
      <c r="B100" s="354"/>
      <c r="C100" s="401" t="s">
        <v>223</v>
      </c>
      <c r="D100" s="400" t="s">
        <v>224</v>
      </c>
      <c r="E100" s="394">
        <f>6*E92/100</f>
        <v>6.6000000000000003E-2</v>
      </c>
      <c r="F100" s="395"/>
      <c r="G100" s="396"/>
      <c r="H100" s="396"/>
      <c r="I100" s="396"/>
      <c r="J100" s="396"/>
      <c r="K100" s="397"/>
      <c r="L100" s="398"/>
      <c r="M100" s="396"/>
      <c r="N100" s="396"/>
      <c r="O100" s="396"/>
      <c r="P100" s="397"/>
      <c r="Q100" s="51"/>
      <c r="R100" s="51"/>
      <c r="S100" s="51"/>
      <c r="T100" s="51"/>
      <c r="U100" s="51"/>
    </row>
    <row r="101" spans="1:21" s="198" customFormat="1" ht="11.25" customHeight="1">
      <c r="A101" s="353"/>
      <c r="B101" s="354"/>
      <c r="C101" s="401" t="s">
        <v>225</v>
      </c>
      <c r="D101" s="400" t="s">
        <v>28</v>
      </c>
      <c r="E101" s="394">
        <f>1*E92</f>
        <v>1.1000000000000001</v>
      </c>
      <c r="F101" s="395"/>
      <c r="G101" s="396"/>
      <c r="H101" s="396"/>
      <c r="I101" s="400"/>
      <c r="J101" s="396"/>
      <c r="K101" s="397"/>
      <c r="L101" s="398"/>
      <c r="M101" s="396"/>
      <c r="N101" s="396"/>
      <c r="O101" s="396"/>
      <c r="P101" s="397"/>
      <c r="Q101" s="51"/>
      <c r="R101" s="51"/>
      <c r="S101" s="51"/>
      <c r="T101" s="51"/>
      <c r="U101" s="51"/>
    </row>
    <row r="102" spans="1:21" s="198" customFormat="1" ht="11.25" customHeight="1">
      <c r="A102" s="353"/>
      <c r="B102" s="354"/>
      <c r="C102" s="401" t="s">
        <v>223</v>
      </c>
      <c r="D102" s="400" t="s">
        <v>224</v>
      </c>
      <c r="E102" s="394">
        <f>4*E101/100</f>
        <v>4.4000000000000004E-2</v>
      </c>
      <c r="F102" s="395"/>
      <c r="G102" s="396"/>
      <c r="H102" s="396"/>
      <c r="I102" s="396"/>
      <c r="J102" s="396"/>
      <c r="K102" s="397"/>
      <c r="L102" s="398"/>
      <c r="M102" s="396"/>
      <c r="N102" s="396"/>
      <c r="O102" s="396"/>
      <c r="P102" s="397"/>
      <c r="Q102" s="51"/>
      <c r="R102" s="51"/>
      <c r="S102" s="51"/>
      <c r="T102" s="51"/>
      <c r="U102" s="51"/>
    </row>
    <row r="103" spans="1:21" s="198" customFormat="1" ht="11.25" customHeight="1">
      <c r="A103" s="353"/>
      <c r="B103" s="354"/>
      <c r="C103" s="401" t="s">
        <v>226</v>
      </c>
      <c r="D103" s="400" t="s">
        <v>227</v>
      </c>
      <c r="E103" s="394">
        <f>((E92*1.1)/3.6)</f>
        <v>0.33611111111111114</v>
      </c>
      <c r="F103" s="395"/>
      <c r="G103" s="396"/>
      <c r="H103" s="396"/>
      <c r="I103" s="396"/>
      <c r="J103" s="396"/>
      <c r="K103" s="397"/>
      <c r="L103" s="398"/>
      <c r="M103" s="396"/>
      <c r="N103" s="396"/>
      <c r="O103" s="396"/>
      <c r="P103" s="397"/>
      <c r="Q103" s="51"/>
      <c r="R103" s="51"/>
      <c r="S103" s="51"/>
      <c r="T103" s="51"/>
      <c r="U103" s="51"/>
    </row>
    <row r="104" spans="1:21" s="198" customFormat="1" ht="11.25" customHeight="1">
      <c r="A104" s="353"/>
      <c r="B104" s="354"/>
      <c r="C104" s="401" t="s">
        <v>228</v>
      </c>
      <c r="D104" s="400" t="s">
        <v>229</v>
      </c>
      <c r="E104" s="394">
        <f>24*E92/100</f>
        <v>0.26400000000000001</v>
      </c>
      <c r="F104" s="395"/>
      <c r="G104" s="396"/>
      <c r="H104" s="396"/>
      <c r="I104" s="396"/>
      <c r="J104" s="396"/>
      <c r="K104" s="397"/>
      <c r="L104" s="398"/>
      <c r="M104" s="396"/>
      <c r="N104" s="396"/>
      <c r="O104" s="396"/>
      <c r="P104" s="397"/>
      <c r="Q104" s="51"/>
      <c r="R104" s="51"/>
      <c r="S104" s="51"/>
      <c r="T104" s="51"/>
      <c r="U104" s="51"/>
    </row>
    <row r="105" spans="1:21" s="198" customFormat="1" ht="11.25" customHeight="1">
      <c r="A105" s="353"/>
      <c r="B105" s="354"/>
      <c r="C105" s="401" t="s">
        <v>230</v>
      </c>
      <c r="D105" s="400" t="s">
        <v>28</v>
      </c>
      <c r="E105" s="394">
        <f>(E92*1*1.1)/90</f>
        <v>1.3444444444444446E-2</v>
      </c>
      <c r="F105" s="395"/>
      <c r="G105" s="396"/>
      <c r="H105" s="396"/>
      <c r="I105" s="396"/>
      <c r="J105" s="396"/>
      <c r="K105" s="397"/>
      <c r="L105" s="398"/>
      <c r="M105" s="396"/>
      <c r="N105" s="396"/>
      <c r="O105" s="396"/>
      <c r="P105" s="397"/>
      <c r="Q105" s="51"/>
      <c r="R105" s="51"/>
      <c r="S105" s="51"/>
      <c r="T105" s="51"/>
      <c r="U105" s="51"/>
    </row>
    <row r="106" spans="1:21" s="198" customFormat="1" ht="11.25" customHeight="1">
      <c r="A106" s="353"/>
      <c r="B106" s="354"/>
      <c r="C106" s="362" t="s">
        <v>231</v>
      </c>
      <c r="D106" s="400" t="s">
        <v>28</v>
      </c>
      <c r="E106" s="394">
        <f>(E90*0.3*1.1)/25</f>
        <v>3.0506666666666664E-3</v>
      </c>
      <c r="F106" s="395"/>
      <c r="G106" s="396"/>
      <c r="H106" s="396"/>
      <c r="I106" s="396"/>
      <c r="J106" s="396"/>
      <c r="K106" s="397"/>
      <c r="L106" s="398"/>
      <c r="M106" s="396"/>
      <c r="N106" s="396"/>
      <c r="O106" s="396"/>
      <c r="P106" s="397"/>
      <c r="Q106" s="51"/>
      <c r="R106" s="51"/>
      <c r="S106" s="51"/>
      <c r="T106" s="51"/>
      <c r="U106" s="51"/>
    </row>
    <row r="107" spans="1:21" s="51" customFormat="1" ht="11.25" customHeight="1">
      <c r="A107" s="130" t="s">
        <v>107</v>
      </c>
      <c r="B107" s="131" t="s">
        <v>25</v>
      </c>
      <c r="C107" s="199" t="s">
        <v>159</v>
      </c>
      <c r="D107" s="133" t="s">
        <v>24</v>
      </c>
      <c r="E107" s="134">
        <v>3.6</v>
      </c>
      <c r="F107" s="200"/>
      <c r="G107" s="111"/>
      <c r="H107" s="111"/>
      <c r="I107" s="112"/>
      <c r="J107" s="111"/>
      <c r="K107" s="201"/>
      <c r="L107" s="202"/>
      <c r="M107" s="111"/>
      <c r="N107" s="111"/>
      <c r="O107" s="111"/>
      <c r="P107" s="201"/>
    </row>
    <row r="108" spans="1:21" s="51" customFormat="1" ht="11.25" customHeight="1">
      <c r="A108" s="156"/>
      <c r="B108" s="157"/>
      <c r="C108" s="255" t="s">
        <v>158</v>
      </c>
      <c r="D108" s="172" t="s">
        <v>24</v>
      </c>
      <c r="E108" s="173">
        <f>E107*1</f>
        <v>3.6</v>
      </c>
      <c r="F108" s="203"/>
      <c r="G108" s="125"/>
      <c r="H108" s="125"/>
      <c r="I108" s="175"/>
      <c r="J108" s="125"/>
      <c r="K108" s="204"/>
      <c r="L108" s="205"/>
      <c r="M108" s="125"/>
      <c r="N108" s="125"/>
      <c r="O108" s="125"/>
      <c r="P108" s="204"/>
    </row>
    <row r="109" spans="1:21" s="198" customFormat="1" ht="11.25" customHeight="1">
      <c r="A109" s="486" t="s">
        <v>241</v>
      </c>
      <c r="B109" s="487"/>
      <c r="C109" s="487"/>
      <c r="D109" s="487"/>
      <c r="E109" s="488"/>
      <c r="F109" s="208"/>
      <c r="G109" s="209"/>
      <c r="H109" s="209"/>
      <c r="I109" s="209"/>
      <c r="J109" s="209"/>
      <c r="K109" s="210"/>
      <c r="L109" s="211"/>
      <c r="M109" s="211"/>
      <c r="N109" s="211"/>
      <c r="O109" s="211"/>
      <c r="P109" s="212"/>
      <c r="Q109" s="51"/>
      <c r="R109" s="51"/>
      <c r="S109" s="51"/>
      <c r="T109" s="51"/>
      <c r="U109" s="51"/>
    </row>
    <row r="110" spans="1:21" s="198" customFormat="1" ht="34.5" customHeight="1">
      <c r="A110" s="105" t="s">
        <v>3</v>
      </c>
      <c r="B110" s="213" t="s">
        <v>25</v>
      </c>
      <c r="C110" s="199" t="s">
        <v>237</v>
      </c>
      <c r="D110" s="108" t="s">
        <v>24</v>
      </c>
      <c r="E110" s="109">
        <v>17.3</v>
      </c>
      <c r="F110" s="110"/>
      <c r="G110" s="111"/>
      <c r="H110" s="112"/>
      <c r="I110" s="112"/>
      <c r="J110" s="111"/>
      <c r="K110" s="113"/>
      <c r="L110" s="114"/>
      <c r="M110" s="112"/>
      <c r="N110" s="112"/>
      <c r="O110" s="112"/>
      <c r="P110" s="113"/>
      <c r="Q110" s="51"/>
      <c r="R110" s="51"/>
      <c r="S110" s="51"/>
      <c r="T110" s="51"/>
      <c r="U110" s="51"/>
    </row>
    <row r="111" spans="1:21" s="198" customFormat="1" ht="11.25" customHeight="1">
      <c r="A111" s="380"/>
      <c r="B111" s="381"/>
      <c r="C111" s="382" t="s">
        <v>75</v>
      </c>
      <c r="D111" s="383" t="s">
        <v>78</v>
      </c>
      <c r="E111" s="384">
        <f>0.95*E110</f>
        <v>16.434999999999999</v>
      </c>
      <c r="F111" s="385"/>
      <c r="G111" s="386"/>
      <c r="H111" s="386"/>
      <c r="I111" s="386"/>
      <c r="J111" s="387"/>
      <c r="K111" s="388"/>
      <c r="L111" s="389"/>
      <c r="M111" s="386"/>
      <c r="N111" s="386"/>
      <c r="O111" s="386"/>
      <c r="P111" s="388"/>
      <c r="Q111" s="51"/>
      <c r="R111" s="51"/>
      <c r="S111" s="51"/>
      <c r="T111" s="51"/>
      <c r="U111" s="51"/>
    </row>
    <row r="112" spans="1:21" s="198" customFormat="1" ht="11.25" customHeight="1">
      <c r="A112" s="380"/>
      <c r="B112" s="381"/>
      <c r="C112" s="390" t="s">
        <v>76</v>
      </c>
      <c r="D112" s="383" t="s">
        <v>78</v>
      </c>
      <c r="E112" s="384">
        <f>0.25*E110</f>
        <v>4.3250000000000002</v>
      </c>
      <c r="F112" s="385"/>
      <c r="G112" s="386"/>
      <c r="H112" s="386"/>
      <c r="I112" s="391"/>
      <c r="J112" s="387"/>
      <c r="K112" s="388"/>
      <c r="L112" s="389"/>
      <c r="M112" s="386"/>
      <c r="N112" s="386"/>
      <c r="O112" s="386"/>
      <c r="P112" s="388"/>
      <c r="Q112" s="51"/>
      <c r="R112" s="51"/>
      <c r="S112" s="51"/>
      <c r="T112" s="51"/>
      <c r="U112" s="51"/>
    </row>
    <row r="113" spans="1:21" s="198" customFormat="1" ht="22.5" customHeight="1">
      <c r="A113" s="380"/>
      <c r="B113" s="381"/>
      <c r="C113" s="392" t="s">
        <v>79</v>
      </c>
      <c r="D113" s="383" t="s">
        <v>78</v>
      </c>
      <c r="E113" s="384">
        <f>E110*0.45</f>
        <v>7.7850000000000001</v>
      </c>
      <c r="F113" s="385"/>
      <c r="G113" s="386"/>
      <c r="H113" s="386"/>
      <c r="I113" s="386"/>
      <c r="J113" s="387"/>
      <c r="K113" s="388"/>
      <c r="L113" s="389"/>
      <c r="M113" s="386"/>
      <c r="N113" s="386"/>
      <c r="O113" s="386"/>
      <c r="P113" s="388"/>
      <c r="Q113" s="51"/>
      <c r="R113" s="51"/>
      <c r="S113" s="51"/>
      <c r="T113" s="51"/>
      <c r="U113" s="51"/>
    </row>
    <row r="114" spans="1:21" s="198" customFormat="1" ht="23.25" customHeight="1">
      <c r="A114" s="277">
        <v>2</v>
      </c>
      <c r="B114" s="215" t="s">
        <v>238</v>
      </c>
      <c r="C114" s="263" t="s">
        <v>239</v>
      </c>
      <c r="D114" s="217" t="s">
        <v>23</v>
      </c>
      <c r="E114" s="218">
        <v>4</v>
      </c>
      <c r="F114" s="219"/>
      <c r="G114" s="220"/>
      <c r="H114" s="221"/>
      <c r="I114" s="221"/>
      <c r="J114" s="221"/>
      <c r="K114" s="222"/>
      <c r="L114" s="223"/>
      <c r="M114" s="221"/>
      <c r="N114" s="221"/>
      <c r="O114" s="221"/>
      <c r="P114" s="222"/>
      <c r="Q114" s="51"/>
      <c r="R114" s="51"/>
      <c r="S114" s="51"/>
      <c r="T114" s="51"/>
      <c r="U114" s="51"/>
    </row>
    <row r="115" spans="1:21" s="198" customFormat="1" ht="22.5" customHeight="1">
      <c r="A115" s="323"/>
      <c r="B115" s="324"/>
      <c r="C115" s="325" t="s">
        <v>240</v>
      </c>
      <c r="D115" s="326" t="s">
        <v>26</v>
      </c>
      <c r="E115" s="327">
        <f>1.2*E114</f>
        <v>4.8</v>
      </c>
      <c r="F115" s="328"/>
      <c r="G115" s="329"/>
      <c r="H115" s="329"/>
      <c r="I115" s="330"/>
      <c r="J115" s="329"/>
      <c r="K115" s="331"/>
      <c r="L115" s="332"/>
      <c r="M115" s="329"/>
      <c r="N115" s="329"/>
      <c r="O115" s="329"/>
      <c r="P115" s="331"/>
      <c r="Q115" s="51"/>
      <c r="R115" s="51"/>
      <c r="S115" s="51"/>
      <c r="T115" s="51"/>
      <c r="U115" s="51"/>
    </row>
    <row r="116" spans="1:21" s="198" customFormat="1" ht="15" customHeight="1">
      <c r="A116" s="486" t="s">
        <v>242</v>
      </c>
      <c r="B116" s="487"/>
      <c r="C116" s="487"/>
      <c r="D116" s="487"/>
      <c r="E116" s="488"/>
      <c r="F116" s="208"/>
      <c r="G116" s="209"/>
      <c r="H116" s="209"/>
      <c r="I116" s="209"/>
      <c r="J116" s="209"/>
      <c r="K116" s="210"/>
      <c r="L116" s="211"/>
      <c r="M116" s="211"/>
      <c r="N116" s="211"/>
      <c r="O116" s="211"/>
      <c r="P116" s="212"/>
      <c r="Q116" s="51"/>
      <c r="R116" s="51"/>
      <c r="S116" s="51"/>
      <c r="T116" s="51"/>
      <c r="U116" s="51"/>
    </row>
    <row r="117" spans="1:21" s="198" customFormat="1" ht="35.25" customHeight="1">
      <c r="A117" s="105" t="s">
        <v>3</v>
      </c>
      <c r="B117" s="213" t="s">
        <v>25</v>
      </c>
      <c r="C117" s="199" t="s">
        <v>243</v>
      </c>
      <c r="D117" s="108" t="s">
        <v>24</v>
      </c>
      <c r="E117" s="109">
        <v>49.3</v>
      </c>
      <c r="F117" s="110"/>
      <c r="G117" s="111"/>
      <c r="H117" s="112"/>
      <c r="I117" s="112"/>
      <c r="J117" s="111"/>
      <c r="K117" s="113"/>
      <c r="L117" s="114"/>
      <c r="M117" s="112"/>
      <c r="N117" s="112"/>
      <c r="O117" s="112"/>
      <c r="P117" s="113"/>
      <c r="Q117" s="51"/>
      <c r="R117" s="51"/>
      <c r="S117" s="51"/>
      <c r="T117" s="51"/>
      <c r="U117" s="51"/>
    </row>
    <row r="118" spans="1:21" s="198" customFormat="1" ht="11.25" customHeight="1">
      <c r="A118" s="380"/>
      <c r="B118" s="381"/>
      <c r="C118" s="382" t="s">
        <v>75</v>
      </c>
      <c r="D118" s="383" t="s">
        <v>78</v>
      </c>
      <c r="E118" s="384">
        <f>0.95*E117</f>
        <v>46.834999999999994</v>
      </c>
      <c r="F118" s="385"/>
      <c r="G118" s="386"/>
      <c r="H118" s="386"/>
      <c r="I118" s="386"/>
      <c r="J118" s="387"/>
      <c r="K118" s="388"/>
      <c r="L118" s="389"/>
      <c r="M118" s="386"/>
      <c r="N118" s="386"/>
      <c r="O118" s="386"/>
      <c r="P118" s="388"/>
      <c r="Q118" s="51"/>
      <c r="R118" s="51"/>
      <c r="S118" s="51"/>
      <c r="T118" s="51"/>
      <c r="U118" s="51"/>
    </row>
    <row r="119" spans="1:21" s="198" customFormat="1" ht="11.25" customHeight="1">
      <c r="A119" s="380"/>
      <c r="B119" s="381"/>
      <c r="C119" s="390" t="s">
        <v>76</v>
      </c>
      <c r="D119" s="383" t="s">
        <v>78</v>
      </c>
      <c r="E119" s="384">
        <f>0.25*E117</f>
        <v>12.324999999999999</v>
      </c>
      <c r="F119" s="385"/>
      <c r="G119" s="386"/>
      <c r="H119" s="386"/>
      <c r="I119" s="391"/>
      <c r="J119" s="387"/>
      <c r="K119" s="388"/>
      <c r="L119" s="389"/>
      <c r="M119" s="386"/>
      <c r="N119" s="386"/>
      <c r="O119" s="386"/>
      <c r="P119" s="388"/>
      <c r="Q119" s="51"/>
      <c r="R119" s="51"/>
      <c r="S119" s="51"/>
      <c r="T119" s="51"/>
      <c r="U119" s="51"/>
    </row>
    <row r="120" spans="1:21" s="198" customFormat="1" ht="11.25" customHeight="1">
      <c r="A120" s="380"/>
      <c r="B120" s="381"/>
      <c r="C120" s="392" t="s">
        <v>79</v>
      </c>
      <c r="D120" s="383" t="s">
        <v>78</v>
      </c>
      <c r="E120" s="384">
        <f>E117*0.45</f>
        <v>22.184999999999999</v>
      </c>
      <c r="F120" s="385"/>
      <c r="G120" s="386"/>
      <c r="H120" s="386"/>
      <c r="I120" s="386"/>
      <c r="J120" s="387"/>
      <c r="K120" s="388"/>
      <c r="L120" s="389"/>
      <c r="M120" s="386"/>
      <c r="N120" s="386"/>
      <c r="O120" s="386"/>
      <c r="P120" s="388"/>
      <c r="Q120" s="51"/>
      <c r="R120" s="51"/>
      <c r="S120" s="51"/>
      <c r="T120" s="51"/>
      <c r="U120" s="51"/>
    </row>
    <row r="121" spans="1:21" s="198" customFormat="1" ht="11.25" customHeight="1">
      <c r="A121" s="486" t="s">
        <v>244</v>
      </c>
      <c r="B121" s="487"/>
      <c r="C121" s="487"/>
      <c r="D121" s="487"/>
      <c r="E121" s="488"/>
      <c r="F121" s="208"/>
      <c r="G121" s="209"/>
      <c r="H121" s="209"/>
      <c r="I121" s="209"/>
      <c r="J121" s="209"/>
      <c r="K121" s="210"/>
      <c r="L121" s="211"/>
      <c r="M121" s="211"/>
      <c r="N121" s="211"/>
      <c r="O121" s="211"/>
      <c r="P121" s="212"/>
      <c r="Q121" s="51"/>
      <c r="R121" s="51"/>
      <c r="S121" s="51"/>
      <c r="T121" s="51"/>
      <c r="U121" s="51"/>
    </row>
    <row r="122" spans="1:21" s="198" customFormat="1" ht="11.25" customHeight="1">
      <c r="A122" s="214" t="s">
        <v>3</v>
      </c>
      <c r="B122" s="333" t="s">
        <v>49</v>
      </c>
      <c r="C122" s="334" t="s">
        <v>248</v>
      </c>
      <c r="D122" s="217" t="s">
        <v>24</v>
      </c>
      <c r="E122" s="335">
        <v>38.9</v>
      </c>
      <c r="F122" s="219"/>
      <c r="G122" s="220"/>
      <c r="H122" s="221"/>
      <c r="I122" s="221"/>
      <c r="J122" s="221"/>
      <c r="K122" s="222"/>
      <c r="L122" s="223"/>
      <c r="M122" s="221"/>
      <c r="N122" s="221"/>
      <c r="O122" s="221"/>
      <c r="P122" s="222"/>
      <c r="Q122" s="51"/>
      <c r="R122" s="51"/>
      <c r="S122" s="51"/>
      <c r="T122" s="51"/>
      <c r="U122" s="51"/>
    </row>
    <row r="123" spans="1:21" s="198" customFormat="1" ht="12.75" customHeight="1">
      <c r="A123" s="214" t="s">
        <v>29</v>
      </c>
      <c r="B123" s="333" t="s">
        <v>172</v>
      </c>
      <c r="C123" s="334" t="s">
        <v>173</v>
      </c>
      <c r="D123" s="217" t="s">
        <v>142</v>
      </c>
      <c r="E123" s="335">
        <v>19.100000000000001</v>
      </c>
      <c r="F123" s="219"/>
      <c r="G123" s="220"/>
      <c r="H123" s="221"/>
      <c r="I123" s="221"/>
      <c r="J123" s="221"/>
      <c r="K123" s="222"/>
      <c r="L123" s="223"/>
      <c r="M123" s="221"/>
      <c r="N123" s="221"/>
      <c r="O123" s="221"/>
      <c r="P123" s="222"/>
      <c r="Q123" s="51"/>
      <c r="R123" s="51"/>
      <c r="S123" s="51"/>
      <c r="T123" s="51"/>
      <c r="U123" s="51"/>
    </row>
    <row r="124" spans="1:21" s="198" customFormat="1" ht="21.75" customHeight="1">
      <c r="A124" s="336" t="s">
        <v>47</v>
      </c>
      <c r="B124" s="337" t="s">
        <v>50</v>
      </c>
      <c r="C124" s="338" t="s">
        <v>54</v>
      </c>
      <c r="D124" s="339" t="s">
        <v>24</v>
      </c>
      <c r="E124" s="335">
        <v>19.100000000000001</v>
      </c>
      <c r="F124" s="340"/>
      <c r="G124" s="220"/>
      <c r="H124" s="341"/>
      <c r="I124" s="341"/>
      <c r="J124" s="220"/>
      <c r="K124" s="342"/>
      <c r="L124" s="343"/>
      <c r="M124" s="341"/>
      <c r="N124" s="341"/>
      <c r="O124" s="341"/>
      <c r="P124" s="342"/>
      <c r="Q124" s="51"/>
      <c r="R124" s="51"/>
      <c r="S124" s="51"/>
      <c r="T124" s="51"/>
      <c r="U124" s="51"/>
    </row>
    <row r="125" spans="1:21" s="198" customFormat="1" ht="11.25" customHeight="1">
      <c r="A125" s="363"/>
      <c r="B125" s="364"/>
      <c r="C125" s="365" t="s">
        <v>51</v>
      </c>
      <c r="D125" s="366" t="s">
        <v>24</v>
      </c>
      <c r="E125" s="367">
        <f>1.1*E124</f>
        <v>21.01</v>
      </c>
      <c r="F125" s="368"/>
      <c r="G125" s="369"/>
      <c r="H125" s="369"/>
      <c r="I125" s="369"/>
      <c r="J125" s="329"/>
      <c r="K125" s="370"/>
      <c r="L125" s="371"/>
      <c r="M125" s="369"/>
      <c r="N125" s="369"/>
      <c r="O125" s="369"/>
      <c r="P125" s="370"/>
      <c r="Q125" s="51"/>
      <c r="R125" s="51"/>
      <c r="S125" s="51"/>
      <c r="T125" s="51"/>
      <c r="U125" s="51"/>
    </row>
    <row r="126" spans="1:21" s="198" customFormat="1" ht="11.25" customHeight="1">
      <c r="A126" s="363"/>
      <c r="B126" s="364"/>
      <c r="C126" s="372" t="s">
        <v>52</v>
      </c>
      <c r="D126" s="366" t="s">
        <v>27</v>
      </c>
      <c r="E126" s="367">
        <f>(E124*6)/25</f>
        <v>4.5840000000000005</v>
      </c>
      <c r="F126" s="368"/>
      <c r="G126" s="369"/>
      <c r="H126" s="369"/>
      <c r="I126" s="373"/>
      <c r="J126" s="329"/>
      <c r="K126" s="370"/>
      <c r="L126" s="371"/>
      <c r="M126" s="369"/>
      <c r="N126" s="369"/>
      <c r="O126" s="369"/>
      <c r="P126" s="370"/>
      <c r="Q126" s="51"/>
      <c r="R126" s="51"/>
      <c r="S126" s="51"/>
      <c r="T126" s="51"/>
      <c r="U126" s="51"/>
    </row>
    <row r="127" spans="1:21" s="198" customFormat="1" ht="11.25" customHeight="1">
      <c r="A127" s="363"/>
      <c r="B127" s="364"/>
      <c r="C127" s="372" t="s">
        <v>53</v>
      </c>
      <c r="D127" s="366" t="s">
        <v>27</v>
      </c>
      <c r="E127" s="367">
        <f>(E124*0.6)/2</f>
        <v>5.73</v>
      </c>
      <c r="F127" s="368"/>
      <c r="G127" s="369"/>
      <c r="H127" s="369"/>
      <c r="I127" s="369"/>
      <c r="J127" s="329"/>
      <c r="K127" s="370"/>
      <c r="L127" s="371"/>
      <c r="M127" s="369"/>
      <c r="N127" s="369"/>
      <c r="O127" s="369"/>
      <c r="P127" s="370"/>
      <c r="Q127" s="51"/>
      <c r="R127" s="51"/>
      <c r="S127" s="51"/>
      <c r="T127" s="51"/>
      <c r="U127" s="51"/>
    </row>
    <row r="128" spans="1:21" s="198" customFormat="1" ht="11.25" customHeight="1">
      <c r="A128" s="363"/>
      <c r="B128" s="364"/>
      <c r="C128" s="372" t="s">
        <v>55</v>
      </c>
      <c r="D128" s="366" t="s">
        <v>27</v>
      </c>
      <c r="E128" s="367">
        <v>1</v>
      </c>
      <c r="F128" s="368"/>
      <c r="G128" s="369"/>
      <c r="H128" s="369"/>
      <c r="I128" s="369"/>
      <c r="J128" s="329"/>
      <c r="K128" s="370"/>
      <c r="L128" s="371"/>
      <c r="M128" s="369"/>
      <c r="N128" s="369"/>
      <c r="O128" s="369"/>
      <c r="P128" s="370"/>
      <c r="Q128" s="51"/>
      <c r="R128" s="51"/>
      <c r="S128" s="51"/>
      <c r="T128" s="51"/>
      <c r="U128" s="51"/>
    </row>
    <row r="129" spans="1:21" s="198" customFormat="1" ht="11.25" customHeight="1">
      <c r="A129" s="336" t="s">
        <v>48</v>
      </c>
      <c r="B129" s="337" t="s">
        <v>174</v>
      </c>
      <c r="C129" s="338" t="s">
        <v>175</v>
      </c>
      <c r="D129" s="339" t="s">
        <v>176</v>
      </c>
      <c r="E129" s="344">
        <v>13.5</v>
      </c>
      <c r="F129" s="340"/>
      <c r="G129" s="220"/>
      <c r="H129" s="341"/>
      <c r="I129" s="341"/>
      <c r="J129" s="220"/>
      <c r="K129" s="342"/>
      <c r="L129" s="343"/>
      <c r="M129" s="341"/>
      <c r="N129" s="341"/>
      <c r="O129" s="341"/>
      <c r="P129" s="342"/>
      <c r="Q129" s="51"/>
      <c r="R129" s="51"/>
      <c r="S129" s="51"/>
      <c r="T129" s="51"/>
      <c r="U129" s="51"/>
    </row>
    <row r="130" spans="1:21" s="198" customFormat="1" ht="11.25" customHeight="1">
      <c r="A130" s="363"/>
      <c r="B130" s="364"/>
      <c r="C130" s="365" t="s">
        <v>51</v>
      </c>
      <c r="D130" s="366" t="s">
        <v>24</v>
      </c>
      <c r="E130" s="367">
        <f>1.1*E129*0.15</f>
        <v>2.2275</v>
      </c>
      <c r="F130" s="368"/>
      <c r="G130" s="369"/>
      <c r="H130" s="369"/>
      <c r="I130" s="369"/>
      <c r="J130" s="329"/>
      <c r="K130" s="370"/>
      <c r="L130" s="371"/>
      <c r="M130" s="369"/>
      <c r="N130" s="369"/>
      <c r="O130" s="369"/>
      <c r="P130" s="370"/>
      <c r="Q130" s="51"/>
      <c r="R130" s="51"/>
      <c r="S130" s="51"/>
      <c r="T130" s="51"/>
      <c r="U130" s="51"/>
    </row>
    <row r="131" spans="1:21" s="198" customFormat="1" ht="11.25" customHeight="1">
      <c r="A131" s="363"/>
      <c r="B131" s="364"/>
      <c r="C131" s="372" t="s">
        <v>52</v>
      </c>
      <c r="D131" s="366" t="s">
        <v>27</v>
      </c>
      <c r="E131" s="367">
        <f>(E130*6)/25</f>
        <v>0.53459999999999996</v>
      </c>
      <c r="F131" s="368"/>
      <c r="G131" s="369"/>
      <c r="H131" s="369"/>
      <c r="I131" s="373"/>
      <c r="J131" s="329"/>
      <c r="K131" s="370"/>
      <c r="L131" s="371"/>
      <c r="M131" s="369"/>
      <c r="N131" s="369"/>
      <c r="O131" s="369"/>
      <c r="P131" s="370"/>
      <c r="Q131" s="51"/>
      <c r="R131" s="51"/>
      <c r="S131" s="51"/>
      <c r="T131" s="51"/>
      <c r="U131" s="51"/>
    </row>
    <row r="132" spans="1:21" s="198" customFormat="1" ht="11.25" customHeight="1">
      <c r="A132" s="363"/>
      <c r="B132" s="364"/>
      <c r="C132" s="372" t="s">
        <v>53</v>
      </c>
      <c r="D132" s="366" t="s">
        <v>27</v>
      </c>
      <c r="E132" s="367">
        <f>(E130*0.6)/2</f>
        <v>0.66825000000000001</v>
      </c>
      <c r="F132" s="368"/>
      <c r="G132" s="369"/>
      <c r="H132" s="369"/>
      <c r="I132" s="369"/>
      <c r="J132" s="329"/>
      <c r="K132" s="370"/>
      <c r="L132" s="371"/>
      <c r="M132" s="369"/>
      <c r="N132" s="369"/>
      <c r="O132" s="369"/>
      <c r="P132" s="370"/>
      <c r="Q132" s="51"/>
      <c r="R132" s="51"/>
      <c r="S132" s="51"/>
      <c r="T132" s="51"/>
      <c r="U132" s="51"/>
    </row>
    <row r="133" spans="1:21" s="198" customFormat="1" ht="11.25" customHeight="1">
      <c r="A133" s="363"/>
      <c r="B133" s="364"/>
      <c r="C133" s="372" t="s">
        <v>61</v>
      </c>
      <c r="D133" s="366" t="s">
        <v>27</v>
      </c>
      <c r="E133" s="367">
        <v>1</v>
      </c>
      <c r="F133" s="368"/>
      <c r="G133" s="369"/>
      <c r="H133" s="369"/>
      <c r="I133" s="369"/>
      <c r="J133" s="329"/>
      <c r="K133" s="370"/>
      <c r="L133" s="371"/>
      <c r="M133" s="369"/>
      <c r="N133" s="369"/>
      <c r="O133" s="369"/>
      <c r="P133" s="370"/>
      <c r="Q133" s="51"/>
      <c r="R133" s="51"/>
      <c r="S133" s="51"/>
      <c r="T133" s="51"/>
      <c r="U133" s="51"/>
    </row>
    <row r="134" spans="1:21" s="198" customFormat="1" ht="11.25" customHeight="1">
      <c r="A134" s="374">
        <v>5</v>
      </c>
      <c r="B134" s="375" t="s">
        <v>245</v>
      </c>
      <c r="C134" s="345" t="s">
        <v>250</v>
      </c>
      <c r="D134" s="351" t="s">
        <v>24</v>
      </c>
      <c r="E134" s="346">
        <v>19.8</v>
      </c>
      <c r="F134" s="347"/>
      <c r="G134" s="352"/>
      <c r="H134" s="348"/>
      <c r="I134" s="348"/>
      <c r="J134" s="242"/>
      <c r="K134" s="349"/>
      <c r="L134" s="350"/>
      <c r="M134" s="348"/>
      <c r="N134" s="348"/>
      <c r="O134" s="348"/>
      <c r="P134" s="349"/>
      <c r="Q134" s="51"/>
      <c r="R134" s="51"/>
      <c r="S134" s="51"/>
      <c r="T134" s="51"/>
      <c r="U134" s="51"/>
    </row>
    <row r="135" spans="1:21" s="198" customFormat="1" ht="11.25" customHeight="1">
      <c r="A135" s="376"/>
      <c r="B135" s="377"/>
      <c r="C135" s="362" t="s">
        <v>246</v>
      </c>
      <c r="D135" s="355" t="s">
        <v>24</v>
      </c>
      <c r="E135" s="356">
        <f>E134*1.1</f>
        <v>21.78</v>
      </c>
      <c r="F135" s="357"/>
      <c r="G135" s="358"/>
      <c r="H135" s="358"/>
      <c r="I135" s="358"/>
      <c r="J135" s="359"/>
      <c r="K135" s="360"/>
      <c r="L135" s="361"/>
      <c r="M135" s="358"/>
      <c r="N135" s="358"/>
      <c r="O135" s="358"/>
      <c r="P135" s="360"/>
      <c r="Q135" s="51"/>
      <c r="R135" s="51"/>
      <c r="S135" s="51"/>
      <c r="T135" s="51"/>
      <c r="U135" s="51"/>
    </row>
    <row r="136" spans="1:21" s="198" customFormat="1" ht="11.25" customHeight="1">
      <c r="A136" s="378"/>
      <c r="B136" s="379"/>
      <c r="C136" s="362" t="s">
        <v>52</v>
      </c>
      <c r="D136" s="355" t="s">
        <v>27</v>
      </c>
      <c r="E136" s="356">
        <f>(E134*4)/25</f>
        <v>3.1680000000000001</v>
      </c>
      <c r="F136" s="357"/>
      <c r="G136" s="358"/>
      <c r="H136" s="358"/>
      <c r="I136" s="358"/>
      <c r="J136" s="359"/>
      <c r="K136" s="360"/>
      <c r="L136" s="361"/>
      <c r="M136" s="358"/>
      <c r="N136" s="358"/>
      <c r="O136" s="358"/>
      <c r="P136" s="360"/>
      <c r="Q136" s="51"/>
      <c r="R136" s="51"/>
      <c r="S136" s="51"/>
      <c r="T136" s="51"/>
      <c r="U136" s="51"/>
    </row>
    <row r="137" spans="1:21" s="198" customFormat="1" ht="11.25" customHeight="1">
      <c r="A137" s="378"/>
      <c r="B137" s="379"/>
      <c r="C137" s="362" t="s">
        <v>53</v>
      </c>
      <c r="D137" s="355" t="s">
        <v>27</v>
      </c>
      <c r="E137" s="356">
        <f>(E134*0.4)/2</f>
        <v>3.9600000000000004</v>
      </c>
      <c r="F137" s="357"/>
      <c r="G137" s="358"/>
      <c r="H137" s="358"/>
      <c r="I137" s="358"/>
      <c r="J137" s="359"/>
      <c r="K137" s="360"/>
      <c r="L137" s="361"/>
      <c r="M137" s="358"/>
      <c r="N137" s="358"/>
      <c r="O137" s="358"/>
      <c r="P137" s="360"/>
      <c r="Q137" s="51"/>
      <c r="R137" s="51"/>
      <c r="S137" s="51"/>
      <c r="T137" s="51"/>
      <c r="U137" s="51"/>
    </row>
    <row r="138" spans="1:21" s="198" customFormat="1" ht="11.25" customHeight="1">
      <c r="A138" s="378"/>
      <c r="B138" s="379"/>
      <c r="C138" s="362" t="s">
        <v>247</v>
      </c>
      <c r="D138" s="355" t="s">
        <v>27</v>
      </c>
      <c r="E138" s="356">
        <f>0.5*E134</f>
        <v>9.9</v>
      </c>
      <c r="F138" s="357"/>
      <c r="G138" s="358"/>
      <c r="H138" s="358"/>
      <c r="I138" s="358"/>
      <c r="J138" s="359"/>
      <c r="K138" s="360"/>
      <c r="L138" s="361"/>
      <c r="M138" s="358"/>
      <c r="N138" s="358"/>
      <c r="O138" s="358"/>
      <c r="P138" s="360"/>
      <c r="Q138" s="51"/>
      <c r="R138" s="51"/>
      <c r="S138" s="51"/>
      <c r="T138" s="51"/>
      <c r="U138" s="51"/>
    </row>
    <row r="139" spans="1:21" s="198" customFormat="1" ht="11.25" customHeight="1">
      <c r="A139" s="378"/>
      <c r="B139" s="379"/>
      <c r="C139" s="362" t="s">
        <v>61</v>
      </c>
      <c r="D139" s="355" t="s">
        <v>27</v>
      </c>
      <c r="E139" s="356">
        <v>1</v>
      </c>
      <c r="F139" s="357"/>
      <c r="G139" s="358"/>
      <c r="H139" s="358"/>
      <c r="I139" s="358"/>
      <c r="J139" s="359"/>
      <c r="K139" s="360"/>
      <c r="L139" s="361"/>
      <c r="M139" s="358"/>
      <c r="N139" s="358"/>
      <c r="O139" s="358"/>
      <c r="P139" s="360"/>
      <c r="Q139" s="51"/>
      <c r="R139" s="51"/>
      <c r="S139" s="51"/>
      <c r="T139" s="51"/>
      <c r="U139" s="51"/>
    </row>
    <row r="140" spans="1:21" s="198" customFormat="1" ht="35.25" customHeight="1">
      <c r="A140" s="105" t="s">
        <v>98</v>
      </c>
      <c r="B140" s="213" t="s">
        <v>25</v>
      </c>
      <c r="C140" s="199" t="s">
        <v>249</v>
      </c>
      <c r="D140" s="108" t="s">
        <v>24</v>
      </c>
      <c r="E140" s="109">
        <v>18.7</v>
      </c>
      <c r="F140" s="110"/>
      <c r="G140" s="111"/>
      <c r="H140" s="112"/>
      <c r="I140" s="112"/>
      <c r="J140" s="111"/>
      <c r="K140" s="113"/>
      <c r="L140" s="114"/>
      <c r="M140" s="112"/>
      <c r="N140" s="112"/>
      <c r="O140" s="112"/>
      <c r="P140" s="113"/>
      <c r="Q140" s="51"/>
      <c r="R140" s="51"/>
      <c r="S140" s="51"/>
      <c r="T140" s="51"/>
      <c r="U140" s="51"/>
    </row>
    <row r="141" spans="1:21" s="198" customFormat="1" ht="11.25" customHeight="1">
      <c r="A141" s="380"/>
      <c r="B141" s="381"/>
      <c r="C141" s="382" t="s">
        <v>75</v>
      </c>
      <c r="D141" s="383" t="s">
        <v>78</v>
      </c>
      <c r="E141" s="384">
        <f>0.95*E140</f>
        <v>17.764999999999997</v>
      </c>
      <c r="F141" s="385"/>
      <c r="G141" s="386"/>
      <c r="H141" s="386"/>
      <c r="I141" s="386"/>
      <c r="J141" s="387"/>
      <c r="K141" s="388"/>
      <c r="L141" s="389"/>
      <c r="M141" s="386"/>
      <c r="N141" s="386"/>
      <c r="O141" s="386"/>
      <c r="P141" s="388"/>
      <c r="Q141" s="51"/>
      <c r="R141" s="51"/>
      <c r="S141" s="51"/>
      <c r="T141" s="51"/>
      <c r="U141" s="51"/>
    </row>
    <row r="142" spans="1:21" s="198" customFormat="1" ht="11.25" customHeight="1">
      <c r="A142" s="380"/>
      <c r="B142" s="381"/>
      <c r="C142" s="390" t="s">
        <v>76</v>
      </c>
      <c r="D142" s="383" t="s">
        <v>78</v>
      </c>
      <c r="E142" s="384">
        <f>0.25*E140</f>
        <v>4.6749999999999998</v>
      </c>
      <c r="F142" s="385"/>
      <c r="G142" s="386"/>
      <c r="H142" s="386"/>
      <c r="I142" s="391"/>
      <c r="J142" s="387"/>
      <c r="K142" s="388"/>
      <c r="L142" s="389"/>
      <c r="M142" s="386"/>
      <c r="N142" s="386"/>
      <c r="O142" s="386"/>
      <c r="P142" s="388"/>
      <c r="Q142" s="51"/>
      <c r="R142" s="51"/>
      <c r="S142" s="51"/>
      <c r="T142" s="51"/>
      <c r="U142" s="51"/>
    </row>
    <row r="143" spans="1:21" s="198" customFormat="1" ht="11.25" customHeight="1">
      <c r="A143" s="380"/>
      <c r="B143" s="381"/>
      <c r="C143" s="392" t="s">
        <v>79</v>
      </c>
      <c r="D143" s="383" t="s">
        <v>78</v>
      </c>
      <c r="E143" s="384">
        <f>E140*0.45</f>
        <v>8.4149999999999991</v>
      </c>
      <c r="F143" s="385"/>
      <c r="G143" s="386"/>
      <c r="H143" s="386"/>
      <c r="I143" s="386"/>
      <c r="J143" s="387"/>
      <c r="K143" s="388"/>
      <c r="L143" s="389"/>
      <c r="M143" s="386"/>
      <c r="N143" s="386"/>
      <c r="O143" s="386"/>
      <c r="P143" s="388"/>
      <c r="Q143" s="51"/>
      <c r="R143" s="51"/>
      <c r="S143" s="51"/>
      <c r="T143" s="51"/>
      <c r="U143" s="51"/>
    </row>
    <row r="144" spans="1:21" s="198" customFormat="1" ht="11.25" customHeight="1">
      <c r="A144" s="486" t="s">
        <v>251</v>
      </c>
      <c r="B144" s="487"/>
      <c r="C144" s="487"/>
      <c r="D144" s="487"/>
      <c r="E144" s="488"/>
      <c r="F144" s="208"/>
      <c r="G144" s="209"/>
      <c r="H144" s="209"/>
      <c r="I144" s="209"/>
      <c r="J144" s="209"/>
      <c r="K144" s="210"/>
      <c r="L144" s="211"/>
      <c r="M144" s="211"/>
      <c r="N144" s="211"/>
      <c r="O144" s="211"/>
      <c r="P144" s="212"/>
      <c r="Q144" s="51"/>
      <c r="R144" s="51"/>
      <c r="S144" s="51"/>
      <c r="T144" s="51"/>
      <c r="U144" s="51"/>
    </row>
    <row r="145" spans="1:21" s="198" customFormat="1" ht="35.25" customHeight="1">
      <c r="A145" s="105" t="s">
        <v>3</v>
      </c>
      <c r="B145" s="213" t="s">
        <v>25</v>
      </c>
      <c r="C145" s="199" t="s">
        <v>253</v>
      </c>
      <c r="D145" s="108" t="s">
        <v>24</v>
      </c>
      <c r="E145" s="109">
        <v>16.899999999999999</v>
      </c>
      <c r="F145" s="110"/>
      <c r="G145" s="111"/>
      <c r="H145" s="112"/>
      <c r="I145" s="112"/>
      <c r="J145" s="111"/>
      <c r="K145" s="113"/>
      <c r="L145" s="114"/>
      <c r="M145" s="112"/>
      <c r="N145" s="112"/>
      <c r="O145" s="112"/>
      <c r="P145" s="113"/>
      <c r="Q145" s="51"/>
      <c r="R145" s="51"/>
      <c r="S145" s="51"/>
      <c r="T145" s="51"/>
      <c r="U145" s="51"/>
    </row>
    <row r="146" spans="1:21" s="198" customFormat="1" ht="11.25" customHeight="1">
      <c r="A146" s="380"/>
      <c r="B146" s="381"/>
      <c r="C146" s="382" t="s">
        <v>75</v>
      </c>
      <c r="D146" s="383" t="s">
        <v>78</v>
      </c>
      <c r="E146" s="384">
        <f>0.9*E145</f>
        <v>15.209999999999999</v>
      </c>
      <c r="F146" s="385"/>
      <c r="G146" s="386"/>
      <c r="H146" s="386"/>
      <c r="I146" s="386"/>
      <c r="J146" s="387"/>
      <c r="K146" s="388"/>
      <c r="L146" s="389"/>
      <c r="M146" s="386"/>
      <c r="N146" s="386"/>
      <c r="O146" s="386"/>
      <c r="P146" s="388"/>
      <c r="Q146" s="51"/>
      <c r="R146" s="51"/>
      <c r="S146" s="51"/>
      <c r="T146" s="51"/>
      <c r="U146" s="51"/>
    </row>
    <row r="147" spans="1:21" s="198" customFormat="1" ht="11.25" customHeight="1">
      <c r="A147" s="380"/>
      <c r="B147" s="381"/>
      <c r="C147" s="390" t="s">
        <v>254</v>
      </c>
      <c r="D147" s="383" t="s">
        <v>78</v>
      </c>
      <c r="E147" s="384">
        <f>0.25*E145</f>
        <v>4.2249999999999996</v>
      </c>
      <c r="F147" s="385"/>
      <c r="G147" s="386"/>
      <c r="H147" s="386"/>
      <c r="I147" s="391"/>
      <c r="J147" s="387"/>
      <c r="K147" s="388"/>
      <c r="L147" s="389"/>
      <c r="M147" s="386"/>
      <c r="N147" s="386"/>
      <c r="O147" s="386"/>
      <c r="P147" s="388"/>
      <c r="Q147" s="51"/>
      <c r="R147" s="51"/>
      <c r="S147" s="51"/>
      <c r="T147" s="51"/>
      <c r="U147" s="51"/>
    </row>
    <row r="148" spans="1:21" s="198" customFormat="1" ht="22.5" customHeight="1">
      <c r="A148" s="380"/>
      <c r="B148" s="381"/>
      <c r="C148" s="392" t="s">
        <v>255</v>
      </c>
      <c r="D148" s="383" t="s">
        <v>78</v>
      </c>
      <c r="E148" s="384">
        <f>E145*0.4</f>
        <v>6.76</v>
      </c>
      <c r="F148" s="385"/>
      <c r="G148" s="386"/>
      <c r="H148" s="386"/>
      <c r="I148" s="386"/>
      <c r="J148" s="387"/>
      <c r="K148" s="388"/>
      <c r="L148" s="389"/>
      <c r="M148" s="386"/>
      <c r="N148" s="386"/>
      <c r="O148" s="386"/>
      <c r="P148" s="388"/>
      <c r="Q148" s="51"/>
      <c r="R148" s="51"/>
      <c r="S148" s="51"/>
      <c r="T148" s="51"/>
      <c r="U148" s="51"/>
    </row>
    <row r="149" spans="1:21" s="198" customFormat="1" ht="11.25" customHeight="1">
      <c r="A149" s="486" t="s">
        <v>252</v>
      </c>
      <c r="B149" s="487"/>
      <c r="C149" s="487"/>
      <c r="D149" s="487"/>
      <c r="E149" s="488"/>
      <c r="F149" s="208"/>
      <c r="G149" s="209"/>
      <c r="H149" s="209"/>
      <c r="I149" s="209"/>
      <c r="J149" s="209"/>
      <c r="K149" s="210"/>
      <c r="L149" s="211"/>
      <c r="M149" s="211"/>
      <c r="N149" s="211"/>
      <c r="O149" s="211"/>
      <c r="P149" s="212"/>
      <c r="Q149" s="51"/>
      <c r="R149" s="51"/>
      <c r="S149" s="51"/>
      <c r="T149" s="51"/>
      <c r="U149" s="51"/>
    </row>
    <row r="150" spans="1:21" s="198" customFormat="1" ht="21.75" customHeight="1">
      <c r="A150" s="105" t="s">
        <v>3</v>
      </c>
      <c r="B150" s="213" t="s">
        <v>25</v>
      </c>
      <c r="C150" s="199" t="s">
        <v>256</v>
      </c>
      <c r="D150" s="108" t="s">
        <v>27</v>
      </c>
      <c r="E150" s="109">
        <v>15</v>
      </c>
      <c r="F150" s="110"/>
      <c r="G150" s="111"/>
      <c r="H150" s="112"/>
      <c r="I150" s="112"/>
      <c r="J150" s="111"/>
      <c r="K150" s="113"/>
      <c r="L150" s="114"/>
      <c r="M150" s="112"/>
      <c r="N150" s="112"/>
      <c r="O150" s="112"/>
      <c r="P150" s="113"/>
      <c r="Q150" s="51"/>
      <c r="R150" s="51"/>
      <c r="S150" s="51"/>
      <c r="T150" s="51"/>
      <c r="U150" s="51"/>
    </row>
    <row r="151" spans="1:21" s="198" customFormat="1" ht="35.25" customHeight="1">
      <c r="A151" s="380"/>
      <c r="B151" s="381"/>
      <c r="C151" s="382" t="s">
        <v>257</v>
      </c>
      <c r="D151" s="383" t="s">
        <v>27</v>
      </c>
      <c r="E151" s="384">
        <f>E150</f>
        <v>15</v>
      </c>
      <c r="F151" s="385"/>
      <c r="G151" s="386"/>
      <c r="H151" s="386"/>
      <c r="I151" s="386"/>
      <c r="J151" s="387"/>
      <c r="K151" s="388"/>
      <c r="L151" s="389"/>
      <c r="M151" s="386"/>
      <c r="N151" s="386"/>
      <c r="O151" s="386"/>
      <c r="P151" s="388"/>
      <c r="Q151" s="51"/>
      <c r="R151" s="51"/>
      <c r="S151" s="51"/>
      <c r="T151" s="51"/>
      <c r="U151" s="51"/>
    </row>
    <row r="152" spans="1:21" s="198" customFormat="1" ht="25.5" customHeight="1">
      <c r="A152" s="380"/>
      <c r="B152" s="381"/>
      <c r="C152" s="392" t="s">
        <v>258</v>
      </c>
      <c r="D152" s="383" t="s">
        <v>78</v>
      </c>
      <c r="E152" s="384">
        <f>0.2*E150</f>
        <v>3</v>
      </c>
      <c r="F152" s="385"/>
      <c r="G152" s="386"/>
      <c r="H152" s="386"/>
      <c r="I152" s="391"/>
      <c r="J152" s="387"/>
      <c r="K152" s="388"/>
      <c r="L152" s="389"/>
      <c r="M152" s="386"/>
      <c r="N152" s="386"/>
      <c r="O152" s="386"/>
      <c r="P152" s="388"/>
      <c r="Q152" s="51"/>
      <c r="R152" s="51"/>
      <c r="S152" s="51"/>
      <c r="T152" s="51"/>
      <c r="U152" s="51"/>
    </row>
    <row r="153" spans="1:21" s="115" customFormat="1" ht="12" thickBot="1">
      <c r="A153" s="492" t="s">
        <v>2</v>
      </c>
      <c r="B153" s="493"/>
      <c r="C153" s="493"/>
      <c r="D153" s="493"/>
      <c r="E153" s="493"/>
      <c r="F153" s="493"/>
      <c r="G153" s="493"/>
      <c r="H153" s="493"/>
      <c r="I153" s="493"/>
      <c r="J153" s="493"/>
      <c r="K153" s="494"/>
      <c r="L153" s="179">
        <f>SUM(L14:L152)</f>
        <v>0</v>
      </c>
      <c r="M153" s="179">
        <f>SUM(M14:M152)</f>
        <v>0</v>
      </c>
      <c r="N153" s="180"/>
      <c r="O153" s="179">
        <f>SUM(O14:O152)</f>
        <v>0</v>
      </c>
      <c r="P153" s="181">
        <f>SUM(P14:P152)</f>
        <v>0</v>
      </c>
    </row>
    <row r="154" spans="1:21" s="115" customFormat="1" ht="12" thickBot="1">
      <c r="A154" s="489" t="s">
        <v>264</v>
      </c>
      <c r="B154" s="490"/>
      <c r="C154" s="490"/>
      <c r="D154" s="490"/>
      <c r="E154" s="490"/>
      <c r="F154" s="490"/>
      <c r="G154" s="490"/>
      <c r="H154" s="490"/>
      <c r="I154" s="490"/>
      <c r="J154" s="490"/>
      <c r="K154" s="491"/>
      <c r="L154" s="182"/>
      <c r="M154" s="183"/>
      <c r="N154" s="184"/>
      <c r="O154" s="183"/>
      <c r="P154" s="185">
        <f>0.1*N153</f>
        <v>0</v>
      </c>
    </row>
    <row r="155" spans="1:21" s="115" customFormat="1" ht="12" thickBot="1">
      <c r="A155" s="489" t="s">
        <v>2</v>
      </c>
      <c r="B155" s="490"/>
      <c r="C155" s="490"/>
      <c r="D155" s="490"/>
      <c r="E155" s="490"/>
      <c r="F155" s="490"/>
      <c r="G155" s="490"/>
      <c r="H155" s="490"/>
      <c r="I155" s="490"/>
      <c r="J155" s="490"/>
      <c r="K155" s="491"/>
      <c r="L155" s="186">
        <f>SUM(L153:L154)</f>
        <v>0</v>
      </c>
      <c r="M155" s="187">
        <f>SUM(M153:M154)</f>
        <v>0</v>
      </c>
      <c r="N155" s="187">
        <f>SUM(N153:N154)</f>
        <v>0</v>
      </c>
      <c r="O155" s="187">
        <f>SUM(O153:O154)</f>
        <v>0</v>
      </c>
      <c r="P155" s="188">
        <f>SUM(P153:P154)</f>
        <v>0</v>
      </c>
    </row>
    <row r="156" spans="1:21" s="115" customFormat="1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90"/>
      <c r="M156" s="190"/>
      <c r="N156" s="190"/>
      <c r="O156" s="190"/>
      <c r="P156" s="190"/>
    </row>
    <row r="157" spans="1:21" s="115" customFormat="1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90"/>
      <c r="M157" s="190"/>
      <c r="N157" s="190"/>
      <c r="O157" s="190"/>
      <c r="P157" s="190"/>
    </row>
    <row r="158" spans="1:21" s="115" customFormat="1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90"/>
      <c r="M158" s="190"/>
      <c r="N158" s="190"/>
      <c r="O158" s="190"/>
      <c r="P158" s="190"/>
    </row>
    <row r="159" spans="1:21" s="115" customFormat="1" ht="12.75">
      <c r="B159" s="191"/>
      <c r="H159" s="192"/>
      <c r="I159" s="193"/>
    </row>
    <row r="160" spans="1:21" s="115" customFormat="1" ht="12.75">
      <c r="H160" s="194"/>
      <c r="O160" s="195"/>
      <c r="R160" s="196"/>
    </row>
    <row r="161" spans="1:16" s="115" customFormat="1"/>
    <row r="162" spans="1:16">
      <c r="A162" s="51"/>
      <c r="B162" s="62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</sheetData>
  <mergeCells count="27">
    <mergeCell ref="A35:E35"/>
    <mergeCell ref="A109:E109"/>
    <mergeCell ref="A153:K153"/>
    <mergeCell ref="A154:K154"/>
    <mergeCell ref="A155:K155"/>
    <mergeCell ref="A52:E52"/>
    <mergeCell ref="A71:E71"/>
    <mergeCell ref="A149:E149"/>
    <mergeCell ref="A116:E116"/>
    <mergeCell ref="A121:E121"/>
    <mergeCell ref="A144:E144"/>
    <mergeCell ref="A25:E25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L12:P12"/>
    <mergeCell ref="A14:E14"/>
    <mergeCell ref="F14:K14"/>
    <mergeCell ref="L14:P14"/>
    <mergeCell ref="A15:E15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H45"/>
  <sheetViews>
    <sheetView topLeftCell="A7" zoomScale="115" zoomScaleNormal="115" workbookViewId="0">
      <selection activeCell="B39" sqref="B39"/>
    </sheetView>
  </sheetViews>
  <sheetFormatPr defaultRowHeight="12.75"/>
  <cols>
    <col min="1" max="1" width="9" style="26" customWidth="1"/>
    <col min="2" max="2" width="26" style="31" customWidth="1"/>
    <col min="3" max="3" width="13" style="32" customWidth="1"/>
    <col min="4" max="4" width="11" style="21" customWidth="1"/>
    <col min="5" max="5" width="11.140625" style="21" customWidth="1"/>
    <col min="6" max="6" width="9" style="21" customWidth="1"/>
    <col min="7" max="7" width="9.42578125" style="21" customWidth="1"/>
    <col min="8" max="16384" width="9.140625" style="21"/>
  </cols>
  <sheetData>
    <row r="1" spans="1:7" s="11" customFormat="1" ht="25.5" customHeight="1">
      <c r="A1" s="12"/>
      <c r="B1" s="12"/>
      <c r="C1" s="12"/>
      <c r="D1" s="13"/>
      <c r="E1" s="13"/>
      <c r="F1" s="13"/>
      <c r="G1" s="13"/>
    </row>
    <row r="2" spans="1:7" s="11" customFormat="1" ht="18" customHeight="1">
      <c r="A2" s="14"/>
      <c r="B2" s="15"/>
      <c r="C2" s="10"/>
    </row>
    <row r="3" spans="1:7" s="11" customFormat="1" ht="33" customHeight="1">
      <c r="A3" s="441" t="s">
        <v>73</v>
      </c>
      <c r="B3" s="441"/>
      <c r="C3" s="441"/>
      <c r="D3" s="441"/>
      <c r="E3" s="441"/>
      <c r="F3" s="441"/>
      <c r="G3" s="441"/>
    </row>
    <row r="4" spans="1:7" s="11" customFormat="1" ht="18">
      <c r="A4" s="16"/>
      <c r="B4" s="17"/>
      <c r="C4" s="18"/>
    </row>
    <row r="5" spans="1:7" s="11" customFormat="1" ht="15" customHeight="1">
      <c r="A5" s="74" t="s">
        <v>58</v>
      </c>
      <c r="B5" s="75"/>
      <c r="C5" s="76"/>
      <c r="D5" s="53"/>
      <c r="E5" s="53"/>
    </row>
    <row r="6" spans="1:7" s="11" customFormat="1" ht="15">
      <c r="A6" s="40" t="s">
        <v>30</v>
      </c>
      <c r="B6" s="75"/>
      <c r="C6" s="77"/>
      <c r="D6" s="54"/>
      <c r="E6" s="53"/>
    </row>
    <row r="7" spans="1:7" s="14" customFormat="1" ht="15">
      <c r="A7" s="40" t="s">
        <v>57</v>
      </c>
      <c r="B7" s="98"/>
      <c r="C7" s="77"/>
      <c r="D7" s="54"/>
      <c r="E7" s="53"/>
    </row>
    <row r="8" spans="1:7" s="11" customFormat="1" ht="15">
      <c r="A8" s="78"/>
      <c r="B8" s="79"/>
      <c r="C8" s="36"/>
      <c r="D8" s="4"/>
    </row>
    <row r="9" spans="1:7" s="11" customFormat="1" ht="15">
      <c r="A9" s="35" t="s">
        <v>4</v>
      </c>
      <c r="B9" s="79"/>
      <c r="C9" s="36"/>
      <c r="D9" s="4"/>
    </row>
    <row r="10" spans="1:7" s="11" customFormat="1" ht="15">
      <c r="A10" s="35"/>
      <c r="B10" s="79"/>
      <c r="C10" s="36"/>
      <c r="D10" s="4"/>
    </row>
    <row r="11" spans="1:7" s="11" customFormat="1" ht="15">
      <c r="A11" s="80"/>
      <c r="B11" s="37" t="s">
        <v>42</v>
      </c>
      <c r="C11" s="81"/>
    </row>
    <row r="12" spans="1:7" s="11" customFormat="1" ht="15">
      <c r="A12" s="35"/>
      <c r="B12" s="82" t="s">
        <v>19</v>
      </c>
      <c r="C12" s="83"/>
    </row>
    <row r="13" spans="1:7" s="11" customFormat="1" ht="15">
      <c r="A13" s="35"/>
      <c r="B13" s="36"/>
      <c r="C13" s="84"/>
    </row>
    <row r="14" spans="1:7" s="11" customFormat="1" ht="15">
      <c r="A14" s="35"/>
      <c r="B14" s="9" t="s">
        <v>259</v>
      </c>
      <c r="C14" s="84"/>
    </row>
    <row r="15" spans="1:7" s="11" customFormat="1" ht="15.75" thickBot="1">
      <c r="A15" s="19"/>
      <c r="B15" s="3"/>
      <c r="C15" s="5"/>
    </row>
    <row r="16" spans="1:7" ht="12.75" customHeight="1">
      <c r="A16" s="446" t="s">
        <v>17</v>
      </c>
      <c r="B16" s="449" t="s">
        <v>18</v>
      </c>
      <c r="C16" s="449" t="s">
        <v>36</v>
      </c>
      <c r="D16" s="443" t="s">
        <v>38</v>
      </c>
      <c r="E16" s="443" t="s">
        <v>37</v>
      </c>
      <c r="F16" s="443" t="s">
        <v>39</v>
      </c>
      <c r="G16" s="438" t="s">
        <v>11</v>
      </c>
    </row>
    <row r="17" spans="1:8" s="22" customFormat="1" ht="12.75" customHeight="1">
      <c r="A17" s="447"/>
      <c r="B17" s="450"/>
      <c r="C17" s="450"/>
      <c r="D17" s="444"/>
      <c r="E17" s="444"/>
      <c r="F17" s="444"/>
      <c r="G17" s="439"/>
    </row>
    <row r="18" spans="1:8" s="22" customFormat="1" ht="31.5" customHeight="1" thickBot="1">
      <c r="A18" s="448"/>
      <c r="B18" s="451"/>
      <c r="C18" s="451"/>
      <c r="D18" s="445"/>
      <c r="E18" s="445"/>
      <c r="F18" s="445"/>
      <c r="G18" s="440"/>
    </row>
    <row r="19" spans="1:8" s="23" customFormat="1" ht="15" customHeight="1">
      <c r="A19" s="118" t="s">
        <v>3</v>
      </c>
      <c r="B19" s="119" t="s">
        <v>74</v>
      </c>
      <c r="C19" s="120"/>
      <c r="D19" s="70"/>
      <c r="E19" s="70"/>
      <c r="F19" s="70"/>
      <c r="G19" s="71"/>
    </row>
    <row r="20" spans="1:8" s="23" customFormat="1">
      <c r="A20" s="121" t="s">
        <v>29</v>
      </c>
      <c r="B20" s="85" t="s">
        <v>82</v>
      </c>
      <c r="C20" s="72"/>
      <c r="D20" s="72"/>
      <c r="E20" s="72"/>
      <c r="F20" s="72"/>
      <c r="G20" s="73"/>
    </row>
    <row r="21" spans="1:8" s="23" customFormat="1">
      <c r="A21" s="121" t="s">
        <v>47</v>
      </c>
      <c r="B21" s="85" t="s">
        <v>109</v>
      </c>
      <c r="C21" s="72"/>
      <c r="D21" s="72"/>
      <c r="E21" s="72"/>
      <c r="F21" s="72"/>
      <c r="G21" s="73"/>
    </row>
    <row r="22" spans="1:8" s="23" customFormat="1">
      <c r="A22" s="121" t="s">
        <v>48</v>
      </c>
      <c r="B22" s="85" t="s">
        <v>110</v>
      </c>
      <c r="C22" s="72"/>
      <c r="D22" s="72"/>
      <c r="E22" s="72"/>
      <c r="F22" s="72"/>
      <c r="G22" s="73"/>
    </row>
    <row r="23" spans="1:8" s="23" customFormat="1">
      <c r="A23" s="121" t="s">
        <v>70</v>
      </c>
      <c r="B23" s="85" t="s">
        <v>111</v>
      </c>
      <c r="C23" s="72"/>
      <c r="D23" s="72"/>
      <c r="E23" s="72"/>
      <c r="F23" s="72"/>
      <c r="G23" s="73"/>
    </row>
    <row r="24" spans="1:8" s="23" customFormat="1">
      <c r="A24" s="121" t="s">
        <v>98</v>
      </c>
      <c r="B24" s="85" t="s">
        <v>112</v>
      </c>
      <c r="C24" s="72"/>
      <c r="D24" s="72"/>
      <c r="E24" s="72"/>
      <c r="F24" s="72"/>
      <c r="G24" s="73"/>
    </row>
    <row r="25" spans="1:8" s="23" customFormat="1">
      <c r="A25" s="121" t="s">
        <v>102</v>
      </c>
      <c r="B25" s="85" t="s">
        <v>96</v>
      </c>
      <c r="C25" s="72"/>
      <c r="D25" s="72"/>
      <c r="E25" s="72"/>
      <c r="F25" s="72"/>
      <c r="G25" s="73"/>
    </row>
    <row r="26" spans="1:8" s="23" customFormat="1">
      <c r="A26" s="121" t="s">
        <v>103</v>
      </c>
      <c r="B26" s="85" t="s">
        <v>113</v>
      </c>
      <c r="C26" s="72"/>
      <c r="D26" s="72"/>
      <c r="E26" s="72"/>
      <c r="F26" s="72"/>
      <c r="G26" s="73"/>
    </row>
    <row r="27" spans="1:8" s="23" customFormat="1">
      <c r="A27" s="121" t="s">
        <v>104</v>
      </c>
      <c r="B27" s="85" t="s">
        <v>114</v>
      </c>
      <c r="C27" s="72"/>
      <c r="D27" s="72"/>
      <c r="E27" s="72"/>
      <c r="F27" s="72"/>
      <c r="G27" s="73"/>
    </row>
    <row r="28" spans="1:8" s="23" customFormat="1">
      <c r="A28" s="121" t="s">
        <v>105</v>
      </c>
      <c r="B28" s="85" t="s">
        <v>115</v>
      </c>
      <c r="C28" s="72"/>
      <c r="D28" s="72"/>
      <c r="E28" s="72"/>
      <c r="F28" s="72"/>
      <c r="G28" s="73"/>
    </row>
    <row r="29" spans="1:8" s="23" customFormat="1">
      <c r="A29" s="121" t="s">
        <v>106</v>
      </c>
      <c r="B29" s="85" t="s">
        <v>116</v>
      </c>
      <c r="C29" s="72"/>
      <c r="D29" s="72"/>
      <c r="E29" s="72"/>
      <c r="F29" s="72"/>
      <c r="G29" s="73"/>
    </row>
    <row r="30" spans="1:8" s="23" customFormat="1">
      <c r="A30" s="121" t="s">
        <v>107</v>
      </c>
      <c r="B30" s="85" t="s">
        <v>117</v>
      </c>
      <c r="C30" s="72"/>
      <c r="D30" s="72"/>
      <c r="E30" s="72"/>
      <c r="F30" s="72"/>
      <c r="G30" s="73"/>
    </row>
    <row r="31" spans="1:8" s="23" customFormat="1">
      <c r="A31" s="121" t="s">
        <v>108</v>
      </c>
      <c r="B31" s="85" t="s">
        <v>118</v>
      </c>
      <c r="C31" s="72"/>
      <c r="D31" s="72"/>
      <c r="E31" s="72"/>
      <c r="F31" s="72"/>
      <c r="G31" s="73"/>
    </row>
    <row r="32" spans="1:8" s="23" customFormat="1" ht="13.5" thickBot="1">
      <c r="A32" s="89"/>
      <c r="B32" s="90" t="s">
        <v>2</v>
      </c>
      <c r="C32" s="91"/>
      <c r="D32" s="91"/>
      <c r="E32" s="91"/>
      <c r="F32" s="91"/>
      <c r="G32" s="92"/>
      <c r="H32" s="25"/>
    </row>
    <row r="33" spans="1:4" ht="16.5" customHeight="1">
      <c r="A33" s="452" t="s">
        <v>260</v>
      </c>
      <c r="B33" s="452"/>
      <c r="C33" s="86">
        <f>ROUND(0.13*C32,2)</f>
        <v>0</v>
      </c>
    </row>
    <row r="34" spans="1:4" ht="16.5" customHeight="1">
      <c r="A34" s="453" t="s">
        <v>265</v>
      </c>
      <c r="B34" s="453"/>
      <c r="C34" s="86">
        <f>ROUND(0.1*C32,2)</f>
        <v>0</v>
      </c>
    </row>
    <row r="35" spans="1:4" ht="16.5" customHeight="1">
      <c r="A35" s="453" t="s">
        <v>41</v>
      </c>
      <c r="B35" s="453"/>
      <c r="C35" s="86">
        <f>ROUND(0.2359*D32,2)</f>
        <v>0</v>
      </c>
    </row>
    <row r="36" spans="1:4" ht="16.5" customHeight="1">
      <c r="A36" s="442" t="s">
        <v>40</v>
      </c>
      <c r="B36" s="442"/>
      <c r="C36" s="87">
        <f>SUM(C32:C35)</f>
        <v>0</v>
      </c>
    </row>
    <row r="37" spans="1:4" ht="16.5" customHeight="1">
      <c r="B37" s="88"/>
      <c r="C37" s="28"/>
    </row>
    <row r="38" spans="1:4" ht="16.5" customHeight="1">
      <c r="B38" s="88"/>
      <c r="C38" s="28"/>
    </row>
    <row r="39" spans="1:4" ht="16.5" customHeight="1">
      <c r="A39" s="29"/>
      <c r="B39" s="82"/>
      <c r="C39" s="26"/>
      <c r="D39" s="28"/>
    </row>
    <row r="40" spans="1:4" ht="16.5" customHeight="1">
      <c r="A40" s="36"/>
      <c r="B40" s="30"/>
      <c r="C40" s="26"/>
      <c r="D40" s="28"/>
    </row>
    <row r="41" spans="1:4" ht="16.5" customHeight="1">
      <c r="B41" s="27"/>
      <c r="C41" s="28"/>
    </row>
    <row r="42" spans="1:4" ht="16.5" customHeight="1">
      <c r="B42" s="27"/>
      <c r="C42" s="28"/>
    </row>
    <row r="43" spans="1:4" ht="16.5" customHeight="1">
      <c r="B43" s="27"/>
      <c r="C43" s="28"/>
    </row>
    <row r="44" spans="1:4" ht="16.5" customHeight="1">
      <c r="B44" s="27"/>
      <c r="C44" s="28"/>
    </row>
    <row r="45" spans="1:4" ht="16.5" customHeight="1">
      <c r="B45" s="27"/>
      <c r="C45" s="28"/>
    </row>
  </sheetData>
  <mergeCells count="12">
    <mergeCell ref="G16:G18"/>
    <mergeCell ref="A3:G3"/>
    <mergeCell ref="A36:B36"/>
    <mergeCell ref="D16:D18"/>
    <mergeCell ref="E16:E18"/>
    <mergeCell ref="F16:F18"/>
    <mergeCell ref="A16:A18"/>
    <mergeCell ref="B16:B18"/>
    <mergeCell ref="C16:C18"/>
    <mergeCell ref="A33:B33"/>
    <mergeCell ref="A34:B34"/>
    <mergeCell ref="A35:B35"/>
  </mergeCells>
  <phoneticPr fontId="34" type="noConversion"/>
  <pageMargins left="0.98425196850393704" right="0.19685039370078741" top="0.78740157480314965" bottom="0.39370078740157483" header="0.51181102362204722" footer="0.51181102362204722"/>
  <pageSetup paperSize="9" orientation="portrait" horizontalDpi="42949672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0"/>
  <sheetViews>
    <sheetView showZeros="0" zoomScale="145" zoomScaleNormal="145" workbookViewId="0">
      <selection activeCell="E31" sqref="E31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80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'O1'!B19</f>
        <v>Telpu remonts 1.grupa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00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56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191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45">
      <c r="A16" s="105" t="s">
        <v>3</v>
      </c>
      <c r="B16" s="106" t="s">
        <v>25</v>
      </c>
      <c r="C16" s="107" t="s">
        <v>190</v>
      </c>
      <c r="D16" s="108" t="s">
        <v>24</v>
      </c>
      <c r="E16" s="109">
        <v>25.7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18" s="115" customFormat="1">
      <c r="A17" s="122"/>
      <c r="B17" s="150"/>
      <c r="C17" s="151" t="s">
        <v>75</v>
      </c>
      <c r="D17" s="123" t="s">
        <v>78</v>
      </c>
      <c r="E17" s="152">
        <f>0.95*E16</f>
        <v>24.414999999999999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18" s="115" customFormat="1">
      <c r="A18" s="122"/>
      <c r="B18" s="150"/>
      <c r="C18" s="153" t="s">
        <v>76</v>
      </c>
      <c r="D18" s="123" t="s">
        <v>78</v>
      </c>
      <c r="E18" s="152">
        <f>0.25*E16</f>
        <v>6.4249999999999998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18" s="115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11.565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18" s="51" customFormat="1" ht="12" thickBot="1">
      <c r="A20" s="470" t="s">
        <v>2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2"/>
      <c r="L20" s="287">
        <f>SUM(L14:L19)</f>
        <v>0</v>
      </c>
      <c r="M20" s="287">
        <f>SUM(M14:M19)</f>
        <v>0</v>
      </c>
      <c r="N20" s="288"/>
      <c r="O20" s="287">
        <f>SUM(O14:O19)</f>
        <v>0</v>
      </c>
      <c r="P20" s="289">
        <f>SUM(P14:P19)</f>
        <v>0</v>
      </c>
    </row>
    <row r="21" spans="1:18" s="51" customFormat="1" ht="12" thickBot="1">
      <c r="A21" s="467" t="s">
        <v>261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9"/>
      <c r="L21" s="290"/>
      <c r="M21" s="291"/>
      <c r="N21" s="292"/>
      <c r="O21" s="291"/>
      <c r="P21" s="293">
        <f>0.1*N20</f>
        <v>0</v>
      </c>
    </row>
    <row r="22" spans="1:18" s="51" customFormat="1" ht="12" thickBot="1">
      <c r="A22" s="467" t="s">
        <v>2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9"/>
      <c r="L22" s="294">
        <f>SUM(L20:L21)</f>
        <v>0</v>
      </c>
      <c r="M22" s="295">
        <f>SUM(M20:M21)</f>
        <v>0</v>
      </c>
      <c r="N22" s="295">
        <f>SUM(N20:N21)</f>
        <v>0</v>
      </c>
      <c r="O22" s="295">
        <f>SUM(O20:O21)</f>
        <v>0</v>
      </c>
      <c r="P22" s="296">
        <f>SUM(P20:P21)</f>
        <v>0</v>
      </c>
    </row>
    <row r="23" spans="1:18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03"/>
      <c r="N23" s="103"/>
      <c r="O23" s="103"/>
      <c r="P23" s="103"/>
    </row>
    <row r="24" spans="1:18" s="51" customFormat="1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8"/>
      <c r="M24" s="298"/>
      <c r="N24" s="298"/>
      <c r="O24" s="298"/>
      <c r="P24" s="298"/>
    </row>
    <row r="25" spans="1:18" s="51" customFormat="1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8"/>
      <c r="M25" s="298"/>
      <c r="N25" s="298"/>
      <c r="O25" s="298"/>
      <c r="P25" s="298"/>
    </row>
    <row r="26" spans="1:18" s="51" customFormat="1" ht="12.75">
      <c r="B26" s="62"/>
      <c r="H26" s="29"/>
      <c r="I26" s="20"/>
    </row>
    <row r="27" spans="1:18" s="51" customFormat="1" ht="12.75">
      <c r="H27" s="36"/>
      <c r="O27" s="206"/>
      <c r="R27" s="299"/>
    </row>
    <row r="28" spans="1:18" s="51" customFormat="1"/>
    <row r="29" spans="1:18" s="51" customFormat="1">
      <c r="B29" s="62"/>
    </row>
    <row r="30" spans="1:18" s="51" customFormat="1">
      <c r="B30" s="62"/>
    </row>
  </sheetData>
  <mergeCells count="18">
    <mergeCell ref="A22:K22"/>
    <mergeCell ref="A20:K20"/>
    <mergeCell ref="A21:K21"/>
    <mergeCell ref="A12:A13"/>
    <mergeCell ref="B12:B13"/>
    <mergeCell ref="E12:E13"/>
    <mergeCell ref="F12:K12"/>
    <mergeCell ref="F14:K14"/>
    <mergeCell ref="A14:E14"/>
    <mergeCell ref="A15:E15"/>
    <mergeCell ref="L14:P14"/>
    <mergeCell ref="O9:P9"/>
    <mergeCell ref="C12:C13"/>
    <mergeCell ref="D12:D13"/>
    <mergeCell ref="A3:P3"/>
    <mergeCell ref="A4:P4"/>
    <mergeCell ref="L9:N9"/>
    <mergeCell ref="L12:P12"/>
  </mergeCells>
  <phoneticPr fontId="1" type="noConversion"/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9"/>
  <sheetViews>
    <sheetView showZeros="0" topLeftCell="A16" zoomScale="145" zoomScaleNormal="145" workbookViewId="0">
      <selection activeCell="L45" sqref="L45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81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'O1'!B20</f>
        <v>Telpu remonts 2.grupa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6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59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192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106" t="s">
        <v>25</v>
      </c>
      <c r="C16" s="107" t="s">
        <v>121</v>
      </c>
      <c r="D16" s="108" t="s">
        <v>24</v>
      </c>
      <c r="E16" s="109">
        <v>116.5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16" s="129" customFormat="1">
      <c r="A17" s="122"/>
      <c r="B17" s="150"/>
      <c r="C17" s="151" t="s">
        <v>75</v>
      </c>
      <c r="D17" s="123" t="s">
        <v>78</v>
      </c>
      <c r="E17" s="152">
        <f>0.95*E16</f>
        <v>110.675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16" s="129" customFormat="1">
      <c r="A18" s="122"/>
      <c r="B18" s="150"/>
      <c r="C18" s="153" t="s">
        <v>76</v>
      </c>
      <c r="D18" s="123" t="s">
        <v>78</v>
      </c>
      <c r="E18" s="152">
        <f>0.25*E16</f>
        <v>29.125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16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52.425000000000004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16" s="115" customFormat="1" ht="22.5">
      <c r="A20" s="130" t="s">
        <v>29</v>
      </c>
      <c r="B20" s="131" t="s">
        <v>25</v>
      </c>
      <c r="C20" s="132" t="s">
        <v>83</v>
      </c>
      <c r="D20" s="133" t="s">
        <v>23</v>
      </c>
      <c r="E20" s="134">
        <v>40.6</v>
      </c>
      <c r="F20" s="135"/>
      <c r="G20" s="111"/>
      <c r="H20" s="136"/>
      <c r="I20" s="112"/>
      <c r="J20" s="136"/>
      <c r="K20" s="137"/>
      <c r="L20" s="138"/>
      <c r="M20" s="136"/>
      <c r="N20" s="136"/>
      <c r="O20" s="136"/>
      <c r="P20" s="137"/>
    </row>
    <row r="21" spans="1:16" s="115" customFormat="1">
      <c r="A21" s="130" t="s">
        <v>47</v>
      </c>
      <c r="B21" s="131" t="s">
        <v>25</v>
      </c>
      <c r="C21" s="132" t="s">
        <v>84</v>
      </c>
      <c r="D21" s="133" t="s">
        <v>24</v>
      </c>
      <c r="E21" s="134">
        <v>56.8</v>
      </c>
      <c r="F21" s="135"/>
      <c r="G21" s="111"/>
      <c r="H21" s="136"/>
      <c r="I21" s="136"/>
      <c r="J21" s="136"/>
      <c r="K21" s="137"/>
      <c r="L21" s="138"/>
      <c r="M21" s="136"/>
      <c r="N21" s="136"/>
      <c r="O21" s="136"/>
      <c r="P21" s="137"/>
    </row>
    <row r="22" spans="1:16" s="115" customFormat="1" ht="22.5">
      <c r="A22" s="130" t="s">
        <v>48</v>
      </c>
      <c r="B22" s="131" t="s">
        <v>25</v>
      </c>
      <c r="C22" s="107" t="s">
        <v>91</v>
      </c>
      <c r="D22" s="139" t="s">
        <v>24</v>
      </c>
      <c r="E22" s="134">
        <v>56.8</v>
      </c>
      <c r="F22" s="140"/>
      <c r="G22" s="141"/>
      <c r="H22" s="141"/>
      <c r="I22" s="112"/>
      <c r="J22" s="141"/>
      <c r="K22" s="142"/>
      <c r="L22" s="143"/>
      <c r="M22" s="141"/>
      <c r="N22" s="141"/>
      <c r="O22" s="141"/>
      <c r="P22" s="142"/>
    </row>
    <row r="23" spans="1:16" s="129" customFormat="1" ht="22.5">
      <c r="A23" s="156"/>
      <c r="B23" s="157"/>
      <c r="C23" s="158" t="s">
        <v>85</v>
      </c>
      <c r="D23" s="159" t="s">
        <v>28</v>
      </c>
      <c r="E23" s="160">
        <v>12</v>
      </c>
      <c r="F23" s="161"/>
      <c r="G23" s="162"/>
      <c r="H23" s="162"/>
      <c r="I23" s="163"/>
      <c r="J23" s="162"/>
      <c r="K23" s="164"/>
      <c r="L23" s="165"/>
      <c r="M23" s="162"/>
      <c r="N23" s="162"/>
      <c r="O23" s="162"/>
      <c r="P23" s="164"/>
    </row>
    <row r="24" spans="1:16" s="115" customFormat="1" ht="22.5">
      <c r="A24" s="130" t="s">
        <v>70</v>
      </c>
      <c r="B24" s="145" t="s">
        <v>86</v>
      </c>
      <c r="C24" s="146" t="s">
        <v>87</v>
      </c>
      <c r="D24" s="139" t="s">
        <v>24</v>
      </c>
      <c r="E24" s="134">
        <v>56.8</v>
      </c>
      <c r="F24" s="147"/>
      <c r="G24" s="141"/>
      <c r="H24" s="144"/>
      <c r="I24" s="112"/>
      <c r="J24" s="144"/>
      <c r="K24" s="148"/>
      <c r="L24" s="149"/>
      <c r="M24" s="144"/>
      <c r="N24" s="144"/>
      <c r="O24" s="144"/>
      <c r="P24" s="148"/>
    </row>
    <row r="25" spans="1:16" s="129" customFormat="1" ht="33.75">
      <c r="A25" s="156"/>
      <c r="B25" s="166"/>
      <c r="C25" s="158" t="s">
        <v>88</v>
      </c>
      <c r="D25" s="159" t="s">
        <v>24</v>
      </c>
      <c r="E25" s="160">
        <f>1.05*E24</f>
        <v>59.64</v>
      </c>
      <c r="F25" s="167"/>
      <c r="G25" s="163"/>
      <c r="H25" s="163"/>
      <c r="I25" s="163"/>
      <c r="J25" s="163"/>
      <c r="K25" s="168"/>
      <c r="L25" s="169"/>
      <c r="M25" s="163"/>
      <c r="N25" s="163"/>
      <c r="O25" s="163"/>
      <c r="P25" s="168"/>
    </row>
    <row r="26" spans="1:16" s="129" customFormat="1">
      <c r="A26" s="156"/>
      <c r="B26" s="170"/>
      <c r="C26" s="171" t="s">
        <v>75</v>
      </c>
      <c r="D26" s="172" t="s">
        <v>78</v>
      </c>
      <c r="E26" s="173">
        <f>1.05*E25</f>
        <v>62.622</v>
      </c>
      <c r="F26" s="174"/>
      <c r="G26" s="175"/>
      <c r="H26" s="175"/>
      <c r="I26" s="175"/>
      <c r="J26" s="175"/>
      <c r="K26" s="176"/>
      <c r="L26" s="177"/>
      <c r="M26" s="175"/>
      <c r="N26" s="175"/>
      <c r="O26" s="175"/>
      <c r="P26" s="176"/>
    </row>
    <row r="27" spans="1:16" s="129" customFormat="1">
      <c r="A27" s="156"/>
      <c r="B27" s="166"/>
      <c r="C27" s="178" t="s">
        <v>89</v>
      </c>
      <c r="D27" s="159" t="s">
        <v>27</v>
      </c>
      <c r="E27" s="160">
        <f>0.3*E24/12</f>
        <v>1.42</v>
      </c>
      <c r="F27" s="167"/>
      <c r="G27" s="163"/>
      <c r="H27" s="163"/>
      <c r="I27" s="163"/>
      <c r="J27" s="163"/>
      <c r="K27" s="168"/>
      <c r="L27" s="169"/>
      <c r="M27" s="163"/>
      <c r="N27" s="163"/>
      <c r="O27" s="163"/>
      <c r="P27" s="168"/>
    </row>
    <row r="28" spans="1:16" s="129" customFormat="1">
      <c r="A28" s="156"/>
      <c r="B28" s="166"/>
      <c r="C28" s="178" t="s">
        <v>90</v>
      </c>
      <c r="D28" s="159" t="s">
        <v>23</v>
      </c>
      <c r="E28" s="160">
        <f>E24/2</f>
        <v>28.4</v>
      </c>
      <c r="F28" s="167"/>
      <c r="G28" s="163"/>
      <c r="H28" s="163"/>
      <c r="I28" s="163"/>
      <c r="J28" s="163"/>
      <c r="K28" s="168"/>
      <c r="L28" s="169"/>
      <c r="M28" s="163"/>
      <c r="N28" s="163"/>
      <c r="O28" s="163"/>
      <c r="P28" s="168"/>
    </row>
    <row r="29" spans="1:16" s="129" customFormat="1" ht="24.75" customHeight="1">
      <c r="A29" s="130" t="s">
        <v>98</v>
      </c>
      <c r="B29" s="131" t="s">
        <v>25</v>
      </c>
      <c r="C29" s="199" t="s">
        <v>179</v>
      </c>
      <c r="D29" s="133" t="s">
        <v>24</v>
      </c>
      <c r="E29" s="134">
        <v>13.2</v>
      </c>
      <c r="F29" s="200"/>
      <c r="G29" s="111"/>
      <c r="H29" s="111"/>
      <c r="I29" s="112"/>
      <c r="J29" s="111"/>
      <c r="K29" s="201"/>
      <c r="L29" s="202"/>
      <c r="M29" s="111"/>
      <c r="N29" s="111"/>
      <c r="O29" s="111"/>
      <c r="P29" s="201"/>
    </row>
    <row r="30" spans="1:16" s="129" customFormat="1">
      <c r="A30" s="156"/>
      <c r="B30" s="157"/>
      <c r="C30" s="171" t="s">
        <v>100</v>
      </c>
      <c r="D30" s="172" t="s">
        <v>78</v>
      </c>
      <c r="E30" s="173">
        <f>E29*0.47</f>
        <v>6.2039999999999997</v>
      </c>
      <c r="F30" s="203"/>
      <c r="G30" s="125"/>
      <c r="H30" s="125"/>
      <c r="I30" s="175"/>
      <c r="J30" s="125"/>
      <c r="K30" s="204"/>
      <c r="L30" s="205"/>
      <c r="M30" s="125"/>
      <c r="N30" s="125"/>
      <c r="O30" s="125"/>
      <c r="P30" s="204"/>
    </row>
    <row r="31" spans="1:16" s="115" customFormat="1" ht="12" thickBot="1">
      <c r="A31" s="492" t="s">
        <v>2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4"/>
      <c r="L31" s="179">
        <f>SUM(L14:L30)</f>
        <v>0</v>
      </c>
      <c r="M31" s="179">
        <f>SUM(M14:M30)</f>
        <v>0</v>
      </c>
      <c r="N31" s="180"/>
      <c r="O31" s="179">
        <f>SUM(O14:O30)</f>
        <v>0</v>
      </c>
      <c r="P31" s="181">
        <f>SUM(P14:P30)</f>
        <v>0</v>
      </c>
    </row>
    <row r="32" spans="1:16" s="115" customFormat="1" ht="12" thickBot="1">
      <c r="A32" s="489" t="s">
        <v>262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1"/>
      <c r="L32" s="182"/>
      <c r="M32" s="183"/>
      <c r="N32" s="184"/>
      <c r="O32" s="183"/>
      <c r="P32" s="185">
        <f>0.1*N31</f>
        <v>0</v>
      </c>
    </row>
    <row r="33" spans="1:18" s="115" customFormat="1" ht="12" thickBot="1">
      <c r="A33" s="489" t="s">
        <v>2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1"/>
      <c r="L33" s="186">
        <f>SUM(L31:L32)</f>
        <v>0</v>
      </c>
      <c r="M33" s="187">
        <f>SUM(M31:M32)</f>
        <v>0</v>
      </c>
      <c r="N33" s="187">
        <f>SUM(N31:N32)</f>
        <v>0</v>
      </c>
      <c r="O33" s="187">
        <f>SUM(O31:O32)</f>
        <v>0</v>
      </c>
      <c r="P33" s="188">
        <f>SUM(P31:P32)</f>
        <v>0</v>
      </c>
    </row>
    <row r="34" spans="1:18" s="115" customForma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90"/>
      <c r="M34" s="190"/>
      <c r="N34" s="190"/>
      <c r="O34" s="190"/>
      <c r="P34" s="190"/>
    </row>
    <row r="35" spans="1:18" s="115" customForma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90"/>
      <c r="M35" s="190"/>
      <c r="N35" s="190"/>
      <c r="O35" s="190"/>
      <c r="P35" s="190"/>
    </row>
    <row r="36" spans="1:18" s="115" customForma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90"/>
      <c r="M36" s="190"/>
      <c r="N36" s="190"/>
      <c r="O36" s="190"/>
      <c r="P36" s="190"/>
    </row>
    <row r="37" spans="1:18" s="115" customFormat="1" ht="12.75">
      <c r="B37" s="191"/>
      <c r="H37" s="192"/>
      <c r="I37" s="193"/>
    </row>
    <row r="38" spans="1:18" s="115" customFormat="1" ht="12.75">
      <c r="H38" s="194"/>
      <c r="O38" s="195"/>
      <c r="R38" s="196"/>
    </row>
    <row r="39" spans="1:18" s="115" customFormat="1"/>
  </sheetData>
  <mergeCells count="18">
    <mergeCell ref="A32:K32"/>
    <mergeCell ref="A33:K33"/>
    <mergeCell ref="L12:P12"/>
    <mergeCell ref="A14:E14"/>
    <mergeCell ref="F14:K14"/>
    <mergeCell ref="L14:P14"/>
    <mergeCell ref="A31:K31"/>
    <mergeCell ref="A15:E15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44"/>
  <sheetViews>
    <sheetView showZeros="0" topLeftCell="A16" zoomScale="145" zoomScaleNormal="145" workbookViewId="0">
      <selection activeCell="C43" sqref="C43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101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'O1'!B25</f>
        <v>Telpu remonts 7.grupa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>
        <f>P38</f>
        <v>0</v>
      </c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6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60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119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115.9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110.105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28.975000000000001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52.155000000000001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29" customFormat="1" ht="24" customHeight="1">
      <c r="A20" s="130" t="s">
        <v>98</v>
      </c>
      <c r="B20" s="131" t="s">
        <v>25</v>
      </c>
      <c r="C20" s="199" t="s">
        <v>179</v>
      </c>
      <c r="D20" s="133" t="s">
        <v>24</v>
      </c>
      <c r="E20" s="134">
        <v>13.2</v>
      </c>
      <c r="F20" s="200"/>
      <c r="G20" s="111"/>
      <c r="H20" s="111"/>
      <c r="I20" s="112"/>
      <c r="J20" s="111"/>
      <c r="K20" s="201"/>
      <c r="L20" s="202"/>
      <c r="M20" s="111"/>
      <c r="N20" s="111"/>
      <c r="O20" s="111"/>
      <c r="P20" s="201"/>
    </row>
    <row r="21" spans="1:21" s="129" customFormat="1">
      <c r="A21" s="156"/>
      <c r="B21" s="157"/>
      <c r="C21" s="171" t="s">
        <v>100</v>
      </c>
      <c r="D21" s="172" t="s">
        <v>78</v>
      </c>
      <c r="E21" s="173">
        <f>E20*0.47</f>
        <v>6.2039999999999997</v>
      </c>
      <c r="F21" s="203"/>
      <c r="G21" s="125"/>
      <c r="H21" s="125"/>
      <c r="I21" s="175"/>
      <c r="J21" s="125"/>
      <c r="K21" s="204"/>
      <c r="L21" s="205"/>
      <c r="M21" s="125"/>
      <c r="N21" s="125"/>
      <c r="O21" s="125"/>
      <c r="P21" s="204"/>
    </row>
    <row r="22" spans="1:21" s="197" customFormat="1">
      <c r="A22" s="486" t="s">
        <v>120</v>
      </c>
      <c r="B22" s="487"/>
      <c r="C22" s="487"/>
      <c r="D22" s="487"/>
      <c r="E22" s="488"/>
      <c r="F22" s="208"/>
      <c r="G22" s="209"/>
      <c r="H22" s="209"/>
      <c r="I22" s="209"/>
      <c r="J22" s="209"/>
      <c r="K22" s="210"/>
      <c r="L22" s="211"/>
      <c r="M22" s="211"/>
      <c r="N22" s="211"/>
      <c r="O22" s="211"/>
      <c r="P22" s="212"/>
      <c r="Q22" s="115"/>
      <c r="R22" s="115"/>
      <c r="S22" s="115"/>
      <c r="T22" s="115"/>
      <c r="U22" s="115"/>
    </row>
    <row r="23" spans="1:21" s="115" customFormat="1" ht="33.75">
      <c r="A23" s="105" t="s">
        <v>3</v>
      </c>
      <c r="B23" s="213" t="s">
        <v>25</v>
      </c>
      <c r="C23" s="199" t="s">
        <v>121</v>
      </c>
      <c r="D23" s="108" t="s">
        <v>24</v>
      </c>
      <c r="E23" s="109">
        <v>115.9</v>
      </c>
      <c r="F23" s="110"/>
      <c r="G23" s="111"/>
      <c r="H23" s="112"/>
      <c r="I23" s="112"/>
      <c r="J23" s="111"/>
      <c r="K23" s="113"/>
      <c r="L23" s="114"/>
      <c r="M23" s="112"/>
      <c r="N23" s="112"/>
      <c r="O23" s="112"/>
      <c r="P23" s="113"/>
    </row>
    <row r="24" spans="1:21" s="115" customFormat="1">
      <c r="A24" s="122"/>
      <c r="B24" s="150"/>
      <c r="C24" s="151" t="s">
        <v>75</v>
      </c>
      <c r="D24" s="123" t="s">
        <v>78</v>
      </c>
      <c r="E24" s="152">
        <f>0.95*E23</f>
        <v>110.105</v>
      </c>
      <c r="F24" s="124"/>
      <c r="G24" s="126"/>
      <c r="H24" s="126"/>
      <c r="I24" s="126"/>
      <c r="J24" s="125"/>
      <c r="K24" s="127"/>
      <c r="L24" s="128"/>
      <c r="M24" s="126"/>
      <c r="N24" s="126"/>
      <c r="O24" s="126"/>
      <c r="P24" s="127"/>
    </row>
    <row r="25" spans="1:21" s="115" customFormat="1">
      <c r="A25" s="122"/>
      <c r="B25" s="150"/>
      <c r="C25" s="153" t="s">
        <v>76</v>
      </c>
      <c r="D25" s="123" t="s">
        <v>78</v>
      </c>
      <c r="E25" s="152">
        <f>0.25*E23</f>
        <v>28.975000000000001</v>
      </c>
      <c r="F25" s="124"/>
      <c r="G25" s="126"/>
      <c r="H25" s="126"/>
      <c r="I25" s="154"/>
      <c r="J25" s="125"/>
      <c r="K25" s="127"/>
      <c r="L25" s="128"/>
      <c r="M25" s="126"/>
      <c r="N25" s="126"/>
      <c r="O25" s="126"/>
      <c r="P25" s="127"/>
    </row>
    <row r="26" spans="1:21" s="115" customFormat="1" ht="24" customHeight="1">
      <c r="A26" s="122"/>
      <c r="B26" s="150"/>
      <c r="C26" s="155" t="s">
        <v>79</v>
      </c>
      <c r="D26" s="123" t="s">
        <v>78</v>
      </c>
      <c r="E26" s="152">
        <f>E23*0.45</f>
        <v>52.155000000000001</v>
      </c>
      <c r="F26" s="124"/>
      <c r="G26" s="126"/>
      <c r="H26" s="126"/>
      <c r="I26" s="126"/>
      <c r="J26" s="125"/>
      <c r="K26" s="127"/>
      <c r="L26" s="128"/>
      <c r="M26" s="126"/>
      <c r="N26" s="126"/>
      <c r="O26" s="126"/>
      <c r="P26" s="127"/>
    </row>
    <row r="27" spans="1:21" s="115" customFormat="1">
      <c r="A27" s="214" t="s">
        <v>29</v>
      </c>
      <c r="B27" s="215" t="s">
        <v>92</v>
      </c>
      <c r="C27" s="216" t="s">
        <v>95</v>
      </c>
      <c r="D27" s="217" t="s">
        <v>24</v>
      </c>
      <c r="E27" s="218">
        <v>2.1</v>
      </c>
      <c r="F27" s="219"/>
      <c r="G27" s="220"/>
      <c r="H27" s="221"/>
      <c r="I27" s="221"/>
      <c r="J27" s="221"/>
      <c r="K27" s="222"/>
      <c r="L27" s="223"/>
      <c r="M27" s="221"/>
      <c r="N27" s="221"/>
      <c r="O27" s="221"/>
      <c r="P27" s="222"/>
    </row>
    <row r="28" spans="1:21" s="115" customFormat="1" ht="33.75">
      <c r="A28" s="224"/>
      <c r="B28" s="225"/>
      <c r="C28" s="226" t="s">
        <v>198</v>
      </c>
      <c r="D28" s="225" t="s">
        <v>28</v>
      </c>
      <c r="E28" s="227">
        <v>1</v>
      </c>
      <c r="F28" s="228"/>
      <c r="G28" s="229"/>
      <c r="H28" s="229"/>
      <c r="I28" s="229"/>
      <c r="J28" s="229"/>
      <c r="K28" s="230"/>
      <c r="L28" s="231"/>
      <c r="M28" s="229"/>
      <c r="N28" s="229"/>
      <c r="O28" s="229"/>
      <c r="P28" s="230"/>
    </row>
    <row r="29" spans="1:21" s="115" customFormat="1">
      <c r="A29" s="224"/>
      <c r="B29" s="232"/>
      <c r="C29" s="233" t="s">
        <v>93</v>
      </c>
      <c r="D29" s="225" t="s">
        <v>28</v>
      </c>
      <c r="E29" s="227">
        <f>E27*0.33</f>
        <v>0.69300000000000006</v>
      </c>
      <c r="F29" s="228"/>
      <c r="G29" s="229"/>
      <c r="H29" s="229"/>
      <c r="I29" s="229"/>
      <c r="J29" s="229"/>
      <c r="K29" s="230"/>
      <c r="L29" s="231"/>
      <c r="M29" s="229"/>
      <c r="N29" s="229"/>
      <c r="O29" s="229"/>
      <c r="P29" s="230"/>
    </row>
    <row r="30" spans="1:21" s="115" customFormat="1">
      <c r="A30" s="224"/>
      <c r="B30" s="232"/>
      <c r="C30" s="233" t="s">
        <v>94</v>
      </c>
      <c r="D30" s="225" t="s">
        <v>28</v>
      </c>
      <c r="E30" s="227">
        <f>SUM(E28:E28)*10</f>
        <v>10</v>
      </c>
      <c r="F30" s="228"/>
      <c r="G30" s="229"/>
      <c r="H30" s="229"/>
      <c r="I30" s="229"/>
      <c r="J30" s="229"/>
      <c r="K30" s="230"/>
      <c r="L30" s="231"/>
      <c r="M30" s="229"/>
      <c r="N30" s="229"/>
      <c r="O30" s="229"/>
      <c r="P30" s="230"/>
    </row>
    <row r="31" spans="1:21" s="197" customFormat="1">
      <c r="A31" s="486" t="s">
        <v>122</v>
      </c>
      <c r="B31" s="487"/>
      <c r="C31" s="487"/>
      <c r="D31" s="487"/>
      <c r="E31" s="488"/>
      <c r="F31" s="208"/>
      <c r="G31" s="209"/>
      <c r="H31" s="209"/>
      <c r="I31" s="209"/>
      <c r="J31" s="209"/>
      <c r="K31" s="210"/>
      <c r="L31" s="211"/>
      <c r="M31" s="211"/>
      <c r="N31" s="211"/>
      <c r="O31" s="211"/>
      <c r="P31" s="212"/>
      <c r="Q31" s="115"/>
      <c r="R31" s="115"/>
      <c r="S31" s="115"/>
      <c r="T31" s="115"/>
      <c r="U31" s="115"/>
    </row>
    <row r="32" spans="1:21" s="198" customFormat="1" ht="34.5" customHeight="1">
      <c r="A32" s="105" t="s">
        <v>3</v>
      </c>
      <c r="B32" s="106" t="s">
        <v>25</v>
      </c>
      <c r="C32" s="107" t="s">
        <v>77</v>
      </c>
      <c r="D32" s="108" t="s">
        <v>24</v>
      </c>
      <c r="E32" s="109">
        <v>25.7</v>
      </c>
      <c r="F32" s="110"/>
      <c r="G32" s="111"/>
      <c r="H32" s="112"/>
      <c r="I32" s="112"/>
      <c r="J32" s="111"/>
      <c r="K32" s="113"/>
      <c r="L32" s="114"/>
      <c r="M32" s="112"/>
      <c r="N32" s="112"/>
      <c r="O32" s="112"/>
      <c r="P32" s="113"/>
      <c r="Q32" s="51"/>
      <c r="R32" s="51"/>
      <c r="S32" s="51"/>
      <c r="T32" s="51"/>
      <c r="U32" s="51"/>
    </row>
    <row r="33" spans="1:21" s="198" customFormat="1" ht="12" customHeight="1">
      <c r="A33" s="122"/>
      <c r="B33" s="150"/>
      <c r="C33" s="151" t="s">
        <v>75</v>
      </c>
      <c r="D33" s="123" t="s">
        <v>78</v>
      </c>
      <c r="E33" s="152">
        <f>0.95*E32</f>
        <v>24.414999999999999</v>
      </c>
      <c r="F33" s="124"/>
      <c r="G33" s="126"/>
      <c r="H33" s="126"/>
      <c r="I33" s="126"/>
      <c r="J33" s="125"/>
      <c r="K33" s="127"/>
      <c r="L33" s="128"/>
      <c r="M33" s="126"/>
      <c r="N33" s="126"/>
      <c r="O33" s="126"/>
      <c r="P33" s="127"/>
      <c r="Q33" s="51"/>
      <c r="R33" s="51"/>
      <c r="S33" s="51"/>
      <c r="T33" s="51"/>
      <c r="U33" s="51"/>
    </row>
    <row r="34" spans="1:21" s="198" customFormat="1" ht="12" customHeight="1">
      <c r="A34" s="122"/>
      <c r="B34" s="150"/>
      <c r="C34" s="153" t="s">
        <v>76</v>
      </c>
      <c r="D34" s="123" t="s">
        <v>78</v>
      </c>
      <c r="E34" s="152">
        <f>0.25*E32</f>
        <v>6.4249999999999998</v>
      </c>
      <c r="F34" s="124"/>
      <c r="G34" s="126"/>
      <c r="H34" s="126"/>
      <c r="I34" s="154"/>
      <c r="J34" s="125"/>
      <c r="K34" s="127"/>
      <c r="L34" s="128"/>
      <c r="M34" s="126"/>
      <c r="N34" s="126"/>
      <c r="O34" s="126"/>
      <c r="P34" s="127"/>
      <c r="Q34" s="51"/>
      <c r="R34" s="51"/>
      <c r="S34" s="51"/>
      <c r="T34" s="51"/>
      <c r="U34" s="51"/>
    </row>
    <row r="35" spans="1:21" s="198" customFormat="1" ht="12" customHeight="1">
      <c r="A35" s="122"/>
      <c r="B35" s="150"/>
      <c r="C35" s="155" t="s">
        <v>79</v>
      </c>
      <c r="D35" s="123" t="s">
        <v>78</v>
      </c>
      <c r="E35" s="152">
        <f>E32*0.45</f>
        <v>11.565</v>
      </c>
      <c r="F35" s="124"/>
      <c r="G35" s="126"/>
      <c r="H35" s="126"/>
      <c r="I35" s="126"/>
      <c r="J35" s="125"/>
      <c r="K35" s="127"/>
      <c r="L35" s="128"/>
      <c r="M35" s="126"/>
      <c r="N35" s="126"/>
      <c r="O35" s="126"/>
      <c r="P35" s="127"/>
      <c r="Q35" s="51"/>
      <c r="R35" s="51"/>
      <c r="S35" s="51"/>
      <c r="T35" s="51"/>
      <c r="U35" s="51"/>
    </row>
    <row r="36" spans="1:21" s="115" customFormat="1" ht="12" thickBot="1">
      <c r="A36" s="492" t="s">
        <v>2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4"/>
      <c r="L36" s="179">
        <f>SUM(L14:L35)</f>
        <v>0</v>
      </c>
      <c r="M36" s="179">
        <f>SUM(M14:M35)</f>
        <v>0</v>
      </c>
      <c r="N36" s="180"/>
      <c r="O36" s="179">
        <f>SUM(O14:O35)</f>
        <v>0</v>
      </c>
      <c r="P36" s="181">
        <f>SUM(P14:P35)</f>
        <v>0</v>
      </c>
    </row>
    <row r="37" spans="1:21" s="115" customFormat="1" ht="12" thickBot="1">
      <c r="A37" s="489" t="s">
        <v>261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1"/>
      <c r="L37" s="182"/>
      <c r="M37" s="183"/>
      <c r="N37" s="184"/>
      <c r="O37" s="183"/>
      <c r="P37" s="185">
        <f>0.1*N36</f>
        <v>0</v>
      </c>
    </row>
    <row r="38" spans="1:21" s="115" customFormat="1" ht="12" thickBot="1">
      <c r="A38" s="489" t="s">
        <v>2</v>
      </c>
      <c r="B38" s="490"/>
      <c r="C38" s="490"/>
      <c r="D38" s="490"/>
      <c r="E38" s="490"/>
      <c r="F38" s="490"/>
      <c r="G38" s="490"/>
      <c r="H38" s="490"/>
      <c r="I38" s="490"/>
      <c r="J38" s="490"/>
      <c r="K38" s="491"/>
      <c r="L38" s="186">
        <f>SUM(L36:L37)</f>
        <v>0</v>
      </c>
      <c r="M38" s="187">
        <f>SUM(M36:M37)</f>
        <v>0</v>
      </c>
      <c r="N38" s="187">
        <f>SUM(N36:N37)</f>
        <v>0</v>
      </c>
      <c r="O38" s="187">
        <f>SUM(O36:O37)</f>
        <v>0</v>
      </c>
      <c r="P38" s="188">
        <f>SUM(P36:P37)</f>
        <v>0</v>
      </c>
    </row>
    <row r="39" spans="1:21" s="115" customForma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90"/>
      <c r="M39" s="190"/>
      <c r="N39" s="190"/>
      <c r="O39" s="190"/>
      <c r="P39" s="190"/>
    </row>
    <row r="40" spans="1:21" s="115" customForma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90"/>
      <c r="M40" s="190"/>
      <c r="N40" s="190"/>
      <c r="O40" s="190"/>
      <c r="P40" s="190"/>
    </row>
    <row r="41" spans="1:21" s="115" customForma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90"/>
      <c r="M41" s="190"/>
      <c r="N41" s="190"/>
      <c r="O41" s="190"/>
      <c r="P41" s="190"/>
    </row>
    <row r="42" spans="1:21" s="115" customFormat="1" ht="12.75">
      <c r="B42" s="191"/>
      <c r="H42" s="192"/>
      <c r="I42" s="193"/>
    </row>
    <row r="43" spans="1:21" s="115" customFormat="1" ht="12.75">
      <c r="H43" s="194"/>
      <c r="O43" s="195"/>
      <c r="R43" s="196"/>
    </row>
    <row r="44" spans="1:21" s="115" customFormat="1"/>
  </sheetData>
  <mergeCells count="20">
    <mergeCell ref="A38:K38"/>
    <mergeCell ref="L12:P12"/>
    <mergeCell ref="A14:E14"/>
    <mergeCell ref="F14:K14"/>
    <mergeCell ref="L14:P14"/>
    <mergeCell ref="A15:E15"/>
    <mergeCell ref="A22:E22"/>
    <mergeCell ref="A31:E31"/>
    <mergeCell ref="A36:K36"/>
    <mergeCell ref="A37:K37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28"/>
  <sheetViews>
    <sheetView showZeros="0" tabSelected="1" zoomScale="145" zoomScaleNormal="145" workbookViewId="0">
      <selection activeCell="A21" sqref="A21:K21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123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'O1'!B26</f>
        <v>Telpu remonts 8.grupa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62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124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76.8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18" s="129" customFormat="1">
      <c r="A17" s="122"/>
      <c r="B17" s="150"/>
      <c r="C17" s="151" t="s">
        <v>75</v>
      </c>
      <c r="D17" s="123" t="s">
        <v>78</v>
      </c>
      <c r="E17" s="152">
        <f>0.95*E16</f>
        <v>72.959999999999994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18" s="129" customFormat="1">
      <c r="A18" s="122"/>
      <c r="B18" s="150"/>
      <c r="C18" s="153" t="s">
        <v>76</v>
      </c>
      <c r="D18" s="123" t="s">
        <v>78</v>
      </c>
      <c r="E18" s="152">
        <f>0.25*E16</f>
        <v>19.2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18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34.56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18" s="115" customFormat="1" ht="12" thickBot="1">
      <c r="A20" s="492" t="s">
        <v>2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4"/>
      <c r="L20" s="179">
        <f>SUM(L14:L19)</f>
        <v>0</v>
      </c>
      <c r="M20" s="179">
        <f>SUM(M14:M19)</f>
        <v>0</v>
      </c>
      <c r="N20" s="180"/>
      <c r="O20" s="179">
        <f>SUM(O14:O19)</f>
        <v>0</v>
      </c>
      <c r="P20" s="181">
        <f>SUM(P14:P19)</f>
        <v>0</v>
      </c>
    </row>
    <row r="21" spans="1:18" s="115" customFormat="1" ht="12" thickBot="1">
      <c r="A21" s="489" t="s">
        <v>263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  <c r="L21" s="182"/>
      <c r="M21" s="183"/>
      <c r="N21" s="184"/>
      <c r="O21" s="183"/>
      <c r="P21" s="185">
        <f>0.1*N20</f>
        <v>0</v>
      </c>
    </row>
    <row r="22" spans="1:18" s="115" customFormat="1" ht="12" thickBot="1">
      <c r="A22" s="489" t="s">
        <v>2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1"/>
      <c r="L22" s="186">
        <f>SUM(L20:L21)</f>
        <v>0</v>
      </c>
      <c r="M22" s="187">
        <f>SUM(M20:M21)</f>
        <v>0</v>
      </c>
      <c r="N22" s="187">
        <f>SUM(N20:N21)</f>
        <v>0</v>
      </c>
      <c r="O22" s="187">
        <f>SUM(O20:O21)</f>
        <v>0</v>
      </c>
      <c r="P22" s="188">
        <f>SUM(P20:P21)</f>
        <v>0</v>
      </c>
    </row>
    <row r="23" spans="1:18" s="115" customForma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90"/>
      <c r="M23" s="190"/>
      <c r="N23" s="190"/>
      <c r="O23" s="190"/>
      <c r="P23" s="190"/>
    </row>
    <row r="24" spans="1:18" s="115" customForma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90"/>
      <c r="M24" s="190"/>
      <c r="N24" s="190"/>
      <c r="O24" s="190"/>
      <c r="P24" s="190"/>
    </row>
    <row r="25" spans="1:18" s="115" customForma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90"/>
      <c r="M25" s="190"/>
      <c r="N25" s="190"/>
      <c r="O25" s="190"/>
      <c r="P25" s="190"/>
    </row>
    <row r="26" spans="1:18" s="115" customFormat="1" ht="12.75">
      <c r="B26" s="191"/>
      <c r="H26" s="192"/>
      <c r="I26" s="193"/>
    </row>
    <row r="27" spans="1:18" s="115" customFormat="1" ht="12.75">
      <c r="H27" s="194"/>
      <c r="O27" s="195"/>
      <c r="R27" s="196"/>
    </row>
    <row r="28" spans="1:18" s="115" customFormat="1"/>
  </sheetData>
  <mergeCells count="18"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A20:K20"/>
    <mergeCell ref="A21:K21"/>
    <mergeCell ref="A22:K22"/>
    <mergeCell ref="L12:P12"/>
    <mergeCell ref="A14:E14"/>
    <mergeCell ref="F14:K14"/>
    <mergeCell ref="L14:P14"/>
    <mergeCell ref="A15:E15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48"/>
  <sheetViews>
    <sheetView showZeros="0" topLeftCell="A25" zoomScale="145" zoomScaleNormal="145" workbookViewId="0">
      <selection activeCell="E53" sqref="E53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126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'O1'!B27</f>
        <v>Telpu remonts 9.grupa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63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128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117.1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21" s="129" customFormat="1">
      <c r="A17" s="122"/>
      <c r="B17" s="150"/>
      <c r="C17" s="151" t="s">
        <v>75</v>
      </c>
      <c r="D17" s="123" t="s">
        <v>78</v>
      </c>
      <c r="E17" s="152">
        <f>0.95*E16</f>
        <v>111.24499999999999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21" s="129" customFormat="1">
      <c r="A18" s="122"/>
      <c r="B18" s="150"/>
      <c r="C18" s="153" t="s">
        <v>76</v>
      </c>
      <c r="D18" s="123" t="s">
        <v>78</v>
      </c>
      <c r="E18" s="152">
        <f>0.25*E16</f>
        <v>29.274999999999999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21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52.695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21" s="129" customFormat="1" ht="25.5" customHeight="1">
      <c r="A20" s="130" t="s">
        <v>29</v>
      </c>
      <c r="B20" s="131" t="s">
        <v>25</v>
      </c>
      <c r="C20" s="199" t="s">
        <v>179</v>
      </c>
      <c r="D20" s="133" t="s">
        <v>24</v>
      </c>
      <c r="E20" s="134">
        <v>13.2</v>
      </c>
      <c r="F20" s="200"/>
      <c r="G20" s="111"/>
      <c r="H20" s="111"/>
      <c r="I20" s="112"/>
      <c r="J20" s="111"/>
      <c r="K20" s="201"/>
      <c r="L20" s="202"/>
      <c r="M20" s="111"/>
      <c r="N20" s="111"/>
      <c r="O20" s="111"/>
      <c r="P20" s="201"/>
    </row>
    <row r="21" spans="1:21" s="129" customFormat="1">
      <c r="A21" s="156"/>
      <c r="B21" s="157"/>
      <c r="C21" s="171" t="s">
        <v>100</v>
      </c>
      <c r="D21" s="172" t="s">
        <v>78</v>
      </c>
      <c r="E21" s="173">
        <f>E20*0.47</f>
        <v>6.2039999999999997</v>
      </c>
      <c r="F21" s="203"/>
      <c r="G21" s="125"/>
      <c r="H21" s="125"/>
      <c r="I21" s="175"/>
      <c r="J21" s="125"/>
      <c r="K21" s="204"/>
      <c r="L21" s="205"/>
      <c r="M21" s="125"/>
      <c r="N21" s="125"/>
      <c r="O21" s="125"/>
      <c r="P21" s="204"/>
    </row>
    <row r="22" spans="1:21" s="197" customFormat="1">
      <c r="A22" s="486" t="s">
        <v>129</v>
      </c>
      <c r="B22" s="487"/>
      <c r="C22" s="487"/>
      <c r="D22" s="487"/>
      <c r="E22" s="488"/>
      <c r="F22" s="208"/>
      <c r="G22" s="209"/>
      <c r="H22" s="209"/>
      <c r="I22" s="209"/>
      <c r="J22" s="209"/>
      <c r="K22" s="210"/>
      <c r="L22" s="211"/>
      <c r="M22" s="211"/>
      <c r="N22" s="211"/>
      <c r="O22" s="211"/>
      <c r="P22" s="212"/>
      <c r="Q22" s="115"/>
      <c r="R22" s="115"/>
      <c r="S22" s="115"/>
      <c r="T22" s="115"/>
      <c r="U22" s="115"/>
    </row>
    <row r="23" spans="1:21" s="115" customFormat="1" ht="33.75">
      <c r="A23" s="105" t="s">
        <v>3</v>
      </c>
      <c r="B23" s="213" t="s">
        <v>25</v>
      </c>
      <c r="C23" s="199" t="s">
        <v>121</v>
      </c>
      <c r="D23" s="108" t="s">
        <v>24</v>
      </c>
      <c r="E23" s="109">
        <v>57.8</v>
      </c>
      <c r="F23" s="110"/>
      <c r="G23" s="111"/>
      <c r="H23" s="112"/>
      <c r="I23" s="112"/>
      <c r="J23" s="111"/>
      <c r="K23" s="113"/>
      <c r="L23" s="114"/>
      <c r="M23" s="112"/>
      <c r="N23" s="112"/>
      <c r="O23" s="112"/>
      <c r="P23" s="113"/>
    </row>
    <row r="24" spans="1:21" s="115" customFormat="1">
      <c r="A24" s="122"/>
      <c r="B24" s="150"/>
      <c r="C24" s="151" t="s">
        <v>75</v>
      </c>
      <c r="D24" s="123" t="s">
        <v>78</v>
      </c>
      <c r="E24" s="152">
        <f>0.95*E23</f>
        <v>54.91</v>
      </c>
      <c r="F24" s="124"/>
      <c r="G24" s="126"/>
      <c r="H24" s="126"/>
      <c r="I24" s="126"/>
      <c r="J24" s="125"/>
      <c r="K24" s="127"/>
      <c r="L24" s="128"/>
      <c r="M24" s="126"/>
      <c r="N24" s="126"/>
      <c r="O24" s="126"/>
      <c r="P24" s="127"/>
    </row>
    <row r="25" spans="1:21" s="115" customFormat="1">
      <c r="A25" s="122"/>
      <c r="B25" s="150"/>
      <c r="C25" s="153" t="s">
        <v>76</v>
      </c>
      <c r="D25" s="123" t="s">
        <v>78</v>
      </c>
      <c r="E25" s="152">
        <f>0.25*E23</f>
        <v>14.45</v>
      </c>
      <c r="F25" s="124"/>
      <c r="G25" s="126"/>
      <c r="H25" s="126"/>
      <c r="I25" s="154"/>
      <c r="J25" s="125"/>
      <c r="K25" s="127"/>
      <c r="L25" s="128"/>
      <c r="M25" s="126"/>
      <c r="N25" s="126"/>
      <c r="O25" s="126"/>
      <c r="P25" s="127"/>
    </row>
    <row r="26" spans="1:21" s="115" customFormat="1" ht="24" customHeight="1">
      <c r="A26" s="122"/>
      <c r="B26" s="150"/>
      <c r="C26" s="155" t="s">
        <v>79</v>
      </c>
      <c r="D26" s="123" t="s">
        <v>78</v>
      </c>
      <c r="E26" s="152">
        <f>E23*0.45</f>
        <v>26.009999999999998</v>
      </c>
      <c r="F26" s="124"/>
      <c r="G26" s="126"/>
      <c r="H26" s="126"/>
      <c r="I26" s="126"/>
      <c r="J26" s="125"/>
      <c r="K26" s="127"/>
      <c r="L26" s="128"/>
      <c r="M26" s="126"/>
      <c r="N26" s="126"/>
      <c r="O26" s="126"/>
      <c r="P26" s="127"/>
    </row>
    <row r="27" spans="1:21" s="115" customFormat="1">
      <c r="A27" s="486" t="s">
        <v>130</v>
      </c>
      <c r="B27" s="487"/>
      <c r="C27" s="487"/>
      <c r="D27" s="487"/>
      <c r="E27" s="488"/>
      <c r="F27" s="208"/>
      <c r="G27" s="209"/>
      <c r="H27" s="209"/>
      <c r="I27" s="209"/>
      <c r="J27" s="209"/>
      <c r="K27" s="210"/>
      <c r="L27" s="211"/>
      <c r="M27" s="211"/>
      <c r="N27" s="211"/>
      <c r="O27" s="211"/>
      <c r="P27" s="212"/>
    </row>
    <row r="28" spans="1:21" s="115" customFormat="1" ht="33.75">
      <c r="A28" s="105" t="s">
        <v>3</v>
      </c>
      <c r="B28" s="213" t="s">
        <v>25</v>
      </c>
      <c r="C28" s="199" t="s">
        <v>121</v>
      </c>
      <c r="D28" s="108" t="s">
        <v>24</v>
      </c>
      <c r="E28" s="109">
        <v>41.6</v>
      </c>
      <c r="F28" s="110"/>
      <c r="G28" s="111"/>
      <c r="H28" s="112"/>
      <c r="I28" s="112"/>
      <c r="J28" s="111"/>
      <c r="K28" s="113"/>
      <c r="L28" s="114"/>
      <c r="M28" s="112"/>
      <c r="N28" s="112"/>
      <c r="O28" s="112"/>
      <c r="P28" s="113"/>
    </row>
    <row r="29" spans="1:21" s="115" customFormat="1">
      <c r="A29" s="122"/>
      <c r="B29" s="150"/>
      <c r="C29" s="151" t="s">
        <v>75</v>
      </c>
      <c r="D29" s="123" t="s">
        <v>78</v>
      </c>
      <c r="E29" s="152">
        <f>0.95*E28</f>
        <v>39.519999999999996</v>
      </c>
      <c r="F29" s="124"/>
      <c r="G29" s="126"/>
      <c r="H29" s="126"/>
      <c r="I29" s="126"/>
      <c r="J29" s="125"/>
      <c r="K29" s="127"/>
      <c r="L29" s="128"/>
      <c r="M29" s="126"/>
      <c r="N29" s="126"/>
      <c r="O29" s="126"/>
      <c r="P29" s="127"/>
    </row>
    <row r="30" spans="1:21" s="115" customFormat="1">
      <c r="A30" s="122"/>
      <c r="B30" s="150"/>
      <c r="C30" s="153" t="s">
        <v>76</v>
      </c>
      <c r="D30" s="123" t="s">
        <v>78</v>
      </c>
      <c r="E30" s="152">
        <f>0.25*E28</f>
        <v>10.4</v>
      </c>
      <c r="F30" s="124"/>
      <c r="G30" s="126"/>
      <c r="H30" s="126"/>
      <c r="I30" s="154"/>
      <c r="J30" s="125"/>
      <c r="K30" s="127"/>
      <c r="L30" s="128"/>
      <c r="M30" s="126"/>
      <c r="N30" s="126"/>
      <c r="O30" s="126"/>
      <c r="P30" s="127"/>
    </row>
    <row r="31" spans="1:21" s="115" customFormat="1" ht="23.25" customHeight="1">
      <c r="A31" s="122"/>
      <c r="B31" s="150"/>
      <c r="C31" s="155" t="s">
        <v>79</v>
      </c>
      <c r="D31" s="123" t="s">
        <v>78</v>
      </c>
      <c r="E31" s="152">
        <f>E28*0.45</f>
        <v>18.720000000000002</v>
      </c>
      <c r="F31" s="124"/>
      <c r="G31" s="126"/>
      <c r="H31" s="126"/>
      <c r="I31" s="126"/>
      <c r="J31" s="125"/>
      <c r="K31" s="127"/>
      <c r="L31" s="128"/>
      <c r="M31" s="126"/>
      <c r="N31" s="126"/>
      <c r="O31" s="126"/>
      <c r="P31" s="127"/>
    </row>
    <row r="32" spans="1:21" s="197" customFormat="1">
      <c r="A32" s="486" t="s">
        <v>127</v>
      </c>
      <c r="B32" s="487"/>
      <c r="C32" s="487"/>
      <c r="D32" s="487"/>
      <c r="E32" s="488"/>
      <c r="F32" s="208"/>
      <c r="G32" s="209"/>
      <c r="H32" s="209"/>
      <c r="I32" s="209"/>
      <c r="J32" s="209"/>
      <c r="K32" s="210"/>
      <c r="L32" s="211"/>
      <c r="M32" s="211"/>
      <c r="N32" s="211"/>
      <c r="O32" s="211"/>
      <c r="P32" s="212"/>
      <c r="Q32" s="115"/>
      <c r="R32" s="115"/>
      <c r="S32" s="115"/>
      <c r="T32" s="115"/>
      <c r="U32" s="115"/>
    </row>
    <row r="33" spans="1:21" s="198" customFormat="1" ht="34.5" customHeight="1">
      <c r="A33" s="105" t="s">
        <v>3</v>
      </c>
      <c r="B33" s="213" t="s">
        <v>25</v>
      </c>
      <c r="C33" s="107" t="s">
        <v>77</v>
      </c>
      <c r="D33" s="108" t="s">
        <v>24</v>
      </c>
      <c r="E33" s="109">
        <v>25.7</v>
      </c>
      <c r="F33" s="110"/>
      <c r="G33" s="111"/>
      <c r="H33" s="112"/>
      <c r="I33" s="112"/>
      <c r="J33" s="111"/>
      <c r="K33" s="113"/>
      <c r="L33" s="114"/>
      <c r="M33" s="112"/>
      <c r="N33" s="112"/>
      <c r="O33" s="112"/>
      <c r="P33" s="113"/>
      <c r="Q33" s="51"/>
      <c r="R33" s="51"/>
      <c r="S33" s="51"/>
      <c r="T33" s="51"/>
      <c r="U33" s="51"/>
    </row>
    <row r="34" spans="1:21" s="198" customFormat="1" ht="12" customHeight="1">
      <c r="A34" s="122"/>
      <c r="B34" s="150"/>
      <c r="C34" s="151" t="s">
        <v>75</v>
      </c>
      <c r="D34" s="123" t="s">
        <v>78</v>
      </c>
      <c r="E34" s="152">
        <f>0.95*E33</f>
        <v>24.414999999999999</v>
      </c>
      <c r="F34" s="124"/>
      <c r="G34" s="126"/>
      <c r="H34" s="126"/>
      <c r="I34" s="126"/>
      <c r="J34" s="125"/>
      <c r="K34" s="127"/>
      <c r="L34" s="128"/>
      <c r="M34" s="126"/>
      <c r="N34" s="126"/>
      <c r="O34" s="126"/>
      <c r="P34" s="127"/>
      <c r="Q34" s="51"/>
      <c r="R34" s="51"/>
      <c r="S34" s="51"/>
      <c r="T34" s="51"/>
      <c r="U34" s="51"/>
    </row>
    <row r="35" spans="1:21" s="198" customFormat="1" ht="12" customHeight="1">
      <c r="A35" s="122"/>
      <c r="B35" s="150"/>
      <c r="C35" s="153" t="s">
        <v>76</v>
      </c>
      <c r="D35" s="123" t="s">
        <v>78</v>
      </c>
      <c r="E35" s="152">
        <f>0.25*E33</f>
        <v>6.4249999999999998</v>
      </c>
      <c r="F35" s="124"/>
      <c r="G35" s="126"/>
      <c r="H35" s="126"/>
      <c r="I35" s="154"/>
      <c r="J35" s="125"/>
      <c r="K35" s="127"/>
      <c r="L35" s="128"/>
      <c r="M35" s="126"/>
      <c r="N35" s="126"/>
      <c r="O35" s="126"/>
      <c r="P35" s="127"/>
      <c r="Q35" s="51"/>
      <c r="R35" s="51"/>
      <c r="S35" s="51"/>
      <c r="T35" s="51"/>
      <c r="U35" s="51"/>
    </row>
    <row r="36" spans="1:21" s="198" customFormat="1" ht="12" customHeight="1">
      <c r="A36" s="122"/>
      <c r="B36" s="150"/>
      <c r="C36" s="155" t="s">
        <v>79</v>
      </c>
      <c r="D36" s="123" t="s">
        <v>78</v>
      </c>
      <c r="E36" s="152">
        <f>E33*0.45</f>
        <v>11.565</v>
      </c>
      <c r="F36" s="124"/>
      <c r="G36" s="126"/>
      <c r="H36" s="126"/>
      <c r="I36" s="126"/>
      <c r="J36" s="125"/>
      <c r="K36" s="127"/>
      <c r="L36" s="128"/>
      <c r="M36" s="126"/>
      <c r="N36" s="126"/>
      <c r="O36" s="126"/>
      <c r="P36" s="127"/>
      <c r="Q36" s="51"/>
      <c r="R36" s="51"/>
      <c r="S36" s="51"/>
      <c r="T36" s="51"/>
      <c r="U36" s="51"/>
    </row>
    <row r="37" spans="1:21" s="51" customFormat="1" ht="12" customHeight="1">
      <c r="A37" s="214" t="s">
        <v>29</v>
      </c>
      <c r="B37" s="215" t="s">
        <v>132</v>
      </c>
      <c r="C37" s="216" t="s">
        <v>131</v>
      </c>
      <c r="D37" s="217" t="s">
        <v>133</v>
      </c>
      <c r="E37" s="218">
        <v>15</v>
      </c>
      <c r="F37" s="219"/>
      <c r="G37" s="220"/>
      <c r="H37" s="221"/>
      <c r="I37" s="221"/>
      <c r="J37" s="221"/>
      <c r="K37" s="222"/>
      <c r="L37" s="223"/>
      <c r="M37" s="221"/>
      <c r="N37" s="221"/>
      <c r="O37" s="221"/>
      <c r="P37" s="222"/>
    </row>
    <row r="38" spans="1:21" s="51" customFormat="1" ht="12" customHeight="1">
      <c r="A38" s="224"/>
      <c r="B38" s="225"/>
      <c r="C38" s="226" t="s">
        <v>135</v>
      </c>
      <c r="D38" s="225" t="s">
        <v>78</v>
      </c>
      <c r="E38" s="227">
        <f>E37*7</f>
        <v>105</v>
      </c>
      <c r="F38" s="228"/>
      <c r="G38" s="229"/>
      <c r="H38" s="229"/>
      <c r="I38" s="229"/>
      <c r="J38" s="229"/>
      <c r="K38" s="230"/>
      <c r="L38" s="231"/>
      <c r="M38" s="229"/>
      <c r="N38" s="229"/>
      <c r="O38" s="229"/>
      <c r="P38" s="230"/>
    </row>
    <row r="39" spans="1:21" s="51" customFormat="1" ht="12" customHeight="1">
      <c r="A39" s="224"/>
      <c r="B39" s="232"/>
      <c r="C39" s="233" t="s">
        <v>134</v>
      </c>
      <c r="D39" s="225" t="s">
        <v>78</v>
      </c>
      <c r="E39" s="227">
        <f>E37*0.93</f>
        <v>13.950000000000001</v>
      </c>
      <c r="F39" s="228"/>
      <c r="G39" s="229"/>
      <c r="H39" s="229"/>
      <c r="I39" s="229"/>
      <c r="J39" s="229"/>
      <c r="K39" s="230"/>
      <c r="L39" s="231"/>
      <c r="M39" s="229"/>
      <c r="N39" s="229"/>
      <c r="O39" s="229"/>
      <c r="P39" s="230"/>
    </row>
    <row r="40" spans="1:21" s="115" customFormat="1" ht="12" thickBot="1">
      <c r="A40" s="492" t="s">
        <v>2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4"/>
      <c r="L40" s="179">
        <f>SUM(L14:L36)</f>
        <v>0</v>
      </c>
      <c r="M40" s="179">
        <f>SUM(M14:M36)</f>
        <v>0</v>
      </c>
      <c r="N40" s="180"/>
      <c r="O40" s="179">
        <f>SUM(O14:O36)</f>
        <v>0</v>
      </c>
      <c r="P40" s="181">
        <f>SUM(P14:P36)</f>
        <v>0</v>
      </c>
    </row>
    <row r="41" spans="1:21" s="115" customFormat="1" ht="12" thickBot="1">
      <c r="A41" s="489" t="s">
        <v>263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1"/>
      <c r="L41" s="182"/>
      <c r="M41" s="183"/>
      <c r="N41" s="184"/>
      <c r="O41" s="183"/>
      <c r="P41" s="185">
        <f>0.1*N40</f>
        <v>0</v>
      </c>
    </row>
    <row r="42" spans="1:21" s="115" customFormat="1" ht="12" thickBot="1">
      <c r="A42" s="489" t="s">
        <v>2</v>
      </c>
      <c r="B42" s="490"/>
      <c r="C42" s="490"/>
      <c r="D42" s="490"/>
      <c r="E42" s="490"/>
      <c r="F42" s="490"/>
      <c r="G42" s="490"/>
      <c r="H42" s="490"/>
      <c r="I42" s="490"/>
      <c r="J42" s="490"/>
      <c r="K42" s="491"/>
      <c r="L42" s="186">
        <f>SUM(L40:L41)</f>
        <v>0</v>
      </c>
      <c r="M42" s="187">
        <f>SUM(M40:M41)</f>
        <v>0</v>
      </c>
      <c r="N42" s="187">
        <f>SUM(N40:N41)</f>
        <v>0</v>
      </c>
      <c r="O42" s="187">
        <f>SUM(O40:O41)</f>
        <v>0</v>
      </c>
      <c r="P42" s="188">
        <f>SUM(P40:P41)</f>
        <v>0</v>
      </c>
    </row>
    <row r="43" spans="1:21" s="115" customForma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90"/>
      <c r="M43" s="190"/>
      <c r="N43" s="190"/>
      <c r="O43" s="190"/>
      <c r="P43" s="190"/>
    </row>
    <row r="44" spans="1:21" s="115" customForma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90"/>
      <c r="M44" s="190"/>
      <c r="N44" s="190"/>
      <c r="O44" s="190"/>
      <c r="P44" s="190"/>
    </row>
    <row r="45" spans="1:21" s="115" customForma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90"/>
      <c r="M45" s="190"/>
      <c r="N45" s="190"/>
      <c r="O45" s="190"/>
      <c r="P45" s="190"/>
    </row>
    <row r="46" spans="1:21" s="115" customFormat="1" ht="12.75">
      <c r="B46" s="191"/>
      <c r="H46" s="192"/>
      <c r="I46" s="193"/>
    </row>
    <row r="47" spans="1:21" s="115" customFormat="1" ht="12.75">
      <c r="H47" s="194"/>
      <c r="O47" s="195"/>
      <c r="R47" s="196"/>
    </row>
    <row r="48" spans="1:21" s="115" customFormat="1"/>
  </sheetData>
  <mergeCells count="21">
    <mergeCell ref="A22:E22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L12:P12"/>
    <mergeCell ref="A14:E14"/>
    <mergeCell ref="F14:K14"/>
    <mergeCell ref="L14:P14"/>
    <mergeCell ref="A15:E15"/>
    <mergeCell ref="A32:E32"/>
    <mergeCell ref="A40:K40"/>
    <mergeCell ref="A41:K41"/>
    <mergeCell ref="A42:K42"/>
    <mergeCell ref="A27:E27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65"/>
  <sheetViews>
    <sheetView showZeros="0" topLeftCell="A37" zoomScale="145" zoomScaleNormal="145" workbookViewId="0">
      <selection activeCell="M63" sqref="M63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136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'O1'!B28</f>
        <v>Telpu remonts 10.grupa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64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137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33.75">
      <c r="A16" s="105" t="s">
        <v>3</v>
      </c>
      <c r="B16" s="213" t="s">
        <v>25</v>
      </c>
      <c r="C16" s="199" t="s">
        <v>121</v>
      </c>
      <c r="D16" s="108" t="s">
        <v>24</v>
      </c>
      <c r="E16" s="109">
        <v>97.2</v>
      </c>
      <c r="F16" s="110"/>
      <c r="G16" s="111"/>
      <c r="H16" s="112"/>
      <c r="I16" s="112"/>
      <c r="J16" s="111"/>
      <c r="K16" s="113"/>
      <c r="L16" s="114"/>
      <c r="M16" s="112"/>
      <c r="N16" s="112"/>
      <c r="O16" s="112"/>
      <c r="P16" s="113"/>
    </row>
    <row r="17" spans="1:16" s="129" customFormat="1">
      <c r="A17" s="122"/>
      <c r="B17" s="150"/>
      <c r="C17" s="151" t="s">
        <v>75</v>
      </c>
      <c r="D17" s="123" t="s">
        <v>78</v>
      </c>
      <c r="E17" s="152">
        <f>0.95*E16</f>
        <v>92.34</v>
      </c>
      <c r="F17" s="124"/>
      <c r="G17" s="126"/>
      <c r="H17" s="126"/>
      <c r="I17" s="126"/>
      <c r="J17" s="125"/>
      <c r="K17" s="127"/>
      <c r="L17" s="128"/>
      <c r="M17" s="126"/>
      <c r="N17" s="126"/>
      <c r="O17" s="126"/>
      <c r="P17" s="127"/>
    </row>
    <row r="18" spans="1:16" s="129" customFormat="1">
      <c r="A18" s="122"/>
      <c r="B18" s="150"/>
      <c r="C18" s="153" t="s">
        <v>76</v>
      </c>
      <c r="D18" s="123" t="s">
        <v>78</v>
      </c>
      <c r="E18" s="152">
        <f>0.25*E16</f>
        <v>24.3</v>
      </c>
      <c r="F18" s="124"/>
      <c r="G18" s="126"/>
      <c r="H18" s="126"/>
      <c r="I18" s="154"/>
      <c r="J18" s="125"/>
      <c r="K18" s="127"/>
      <c r="L18" s="128"/>
      <c r="M18" s="126"/>
      <c r="N18" s="126"/>
      <c r="O18" s="126"/>
      <c r="P18" s="127"/>
    </row>
    <row r="19" spans="1:16" s="129" customFormat="1" ht="21" customHeight="1">
      <c r="A19" s="122"/>
      <c r="B19" s="150"/>
      <c r="C19" s="155" t="s">
        <v>79</v>
      </c>
      <c r="D19" s="123" t="s">
        <v>78</v>
      </c>
      <c r="E19" s="152">
        <f>E16*0.45</f>
        <v>43.74</v>
      </c>
      <c r="F19" s="124"/>
      <c r="G19" s="126"/>
      <c r="H19" s="126"/>
      <c r="I19" s="126"/>
      <c r="J19" s="125"/>
      <c r="K19" s="127"/>
      <c r="L19" s="128"/>
      <c r="M19" s="126"/>
      <c r="N19" s="126"/>
      <c r="O19" s="126"/>
      <c r="P19" s="127"/>
    </row>
    <row r="20" spans="1:16" s="51" customFormat="1" ht="22.5">
      <c r="A20" s="214" t="s">
        <v>29</v>
      </c>
      <c r="B20" s="234" t="s">
        <v>146</v>
      </c>
      <c r="C20" s="240" t="s">
        <v>188</v>
      </c>
      <c r="D20" s="133" t="s">
        <v>142</v>
      </c>
      <c r="E20" s="134">
        <v>0.3</v>
      </c>
      <c r="F20" s="135"/>
      <c r="G20" s="111"/>
      <c r="H20" s="136"/>
      <c r="I20" s="136"/>
      <c r="J20" s="136"/>
      <c r="K20" s="137"/>
      <c r="L20" s="138"/>
      <c r="M20" s="136"/>
      <c r="N20" s="136"/>
      <c r="O20" s="136"/>
      <c r="P20" s="137"/>
    </row>
    <row r="21" spans="1:16" s="129" customFormat="1" ht="22.5">
      <c r="A21" s="214" t="s">
        <v>47</v>
      </c>
      <c r="B21" s="234" t="s">
        <v>25</v>
      </c>
      <c r="C21" s="240" t="s">
        <v>140</v>
      </c>
      <c r="D21" s="235" t="s">
        <v>24</v>
      </c>
      <c r="E21" s="241">
        <v>10.9</v>
      </c>
      <c r="F21" s="236"/>
      <c r="G21" s="242"/>
      <c r="H21" s="237"/>
      <c r="I21" s="112"/>
      <c r="J21" s="237"/>
      <c r="K21" s="238"/>
      <c r="L21" s="239"/>
      <c r="M21" s="237"/>
      <c r="N21" s="237"/>
      <c r="O21" s="237"/>
      <c r="P21" s="238"/>
    </row>
    <row r="22" spans="1:16" s="129" customFormat="1">
      <c r="A22" s="243"/>
      <c r="B22" s="244"/>
      <c r="C22" s="245" t="s">
        <v>145</v>
      </c>
      <c r="D22" s="246" t="s">
        <v>24</v>
      </c>
      <c r="E22" s="247">
        <f>1.15*E21*4</f>
        <v>50.14</v>
      </c>
      <c r="F22" s="248"/>
      <c r="G22" s="249"/>
      <c r="H22" s="249"/>
      <c r="I22" s="249"/>
      <c r="J22" s="249"/>
      <c r="K22" s="250"/>
      <c r="L22" s="251"/>
      <c r="M22" s="249"/>
      <c r="N22" s="249"/>
      <c r="O22" s="249"/>
      <c r="P22" s="250"/>
    </row>
    <row r="23" spans="1:16" s="129" customFormat="1">
      <c r="A23" s="243"/>
      <c r="B23" s="244"/>
      <c r="C23" s="245" t="s">
        <v>141</v>
      </c>
      <c r="D23" s="246" t="s">
        <v>24</v>
      </c>
      <c r="E23" s="247">
        <f>1.05*E21</f>
        <v>11.445</v>
      </c>
      <c r="F23" s="248"/>
      <c r="G23" s="249"/>
      <c r="H23" s="249"/>
      <c r="I23" s="249"/>
      <c r="J23" s="249"/>
      <c r="K23" s="250"/>
      <c r="L23" s="251"/>
      <c r="M23" s="249"/>
      <c r="N23" s="249"/>
      <c r="O23" s="249"/>
      <c r="P23" s="250"/>
    </row>
    <row r="24" spans="1:16" s="129" customFormat="1">
      <c r="A24" s="243"/>
      <c r="B24" s="244"/>
      <c r="C24" s="252" t="s">
        <v>144</v>
      </c>
      <c r="D24" s="246" t="s">
        <v>142</v>
      </c>
      <c r="E24" s="247">
        <f>0.1*E21/50</f>
        <v>2.18E-2</v>
      </c>
      <c r="F24" s="248"/>
      <c r="G24" s="249"/>
      <c r="H24" s="249"/>
      <c r="I24" s="249"/>
      <c r="J24" s="249"/>
      <c r="K24" s="250"/>
      <c r="L24" s="251"/>
      <c r="M24" s="249"/>
      <c r="N24" s="249"/>
      <c r="O24" s="249"/>
      <c r="P24" s="250"/>
    </row>
    <row r="25" spans="1:16" s="129" customFormat="1">
      <c r="A25" s="243"/>
      <c r="B25" s="244"/>
      <c r="C25" s="252" t="s">
        <v>143</v>
      </c>
      <c r="D25" s="246" t="s">
        <v>27</v>
      </c>
      <c r="E25" s="247">
        <f>E21*13</f>
        <v>141.70000000000002</v>
      </c>
      <c r="F25" s="248"/>
      <c r="G25" s="249"/>
      <c r="H25" s="249"/>
      <c r="I25" s="249"/>
      <c r="J25" s="249"/>
      <c r="K25" s="250"/>
      <c r="L25" s="251"/>
      <c r="M25" s="249"/>
      <c r="N25" s="249"/>
      <c r="O25" s="249"/>
      <c r="P25" s="250"/>
    </row>
    <row r="26" spans="1:16" s="129" customFormat="1">
      <c r="A26" s="214" t="s">
        <v>48</v>
      </c>
      <c r="B26" s="215" t="s">
        <v>92</v>
      </c>
      <c r="C26" s="216" t="s">
        <v>147</v>
      </c>
      <c r="D26" s="217" t="s">
        <v>24</v>
      </c>
      <c r="E26" s="218">
        <v>1.7</v>
      </c>
      <c r="F26" s="219"/>
      <c r="G26" s="220"/>
      <c r="H26" s="221"/>
      <c r="I26" s="221"/>
      <c r="J26" s="221"/>
      <c r="K26" s="222"/>
      <c r="L26" s="223"/>
      <c r="M26" s="221"/>
      <c r="N26" s="221"/>
      <c r="O26" s="221"/>
      <c r="P26" s="222"/>
    </row>
    <row r="27" spans="1:16" s="129" customFormat="1" ht="33.75">
      <c r="A27" s="224"/>
      <c r="B27" s="225"/>
      <c r="C27" s="226" t="s">
        <v>180</v>
      </c>
      <c r="D27" s="225" t="s">
        <v>28</v>
      </c>
      <c r="E27" s="227">
        <v>1</v>
      </c>
      <c r="F27" s="228"/>
      <c r="G27" s="229"/>
      <c r="H27" s="229"/>
      <c r="I27" s="229"/>
      <c r="J27" s="229"/>
      <c r="K27" s="230"/>
      <c r="L27" s="231"/>
      <c r="M27" s="229"/>
      <c r="N27" s="229"/>
      <c r="O27" s="229"/>
      <c r="P27" s="230"/>
    </row>
    <row r="28" spans="1:16" s="129" customFormat="1">
      <c r="A28" s="224"/>
      <c r="B28" s="232"/>
      <c r="C28" s="233" t="s">
        <v>93</v>
      </c>
      <c r="D28" s="225" t="s">
        <v>28</v>
      </c>
      <c r="E28" s="227">
        <f>E26*0.33</f>
        <v>0.56100000000000005</v>
      </c>
      <c r="F28" s="228"/>
      <c r="G28" s="229"/>
      <c r="H28" s="229"/>
      <c r="I28" s="229"/>
      <c r="J28" s="229"/>
      <c r="K28" s="230"/>
      <c r="L28" s="231"/>
      <c r="M28" s="229"/>
      <c r="N28" s="229"/>
      <c r="O28" s="229"/>
      <c r="P28" s="230"/>
    </row>
    <row r="29" spans="1:16" s="129" customFormat="1">
      <c r="A29" s="224"/>
      <c r="B29" s="232"/>
      <c r="C29" s="233" t="s">
        <v>94</v>
      </c>
      <c r="D29" s="225" t="s">
        <v>28</v>
      </c>
      <c r="E29" s="227">
        <f>SUM(E27:E27)*10</f>
        <v>10</v>
      </c>
      <c r="F29" s="228"/>
      <c r="G29" s="229"/>
      <c r="H29" s="229"/>
      <c r="I29" s="229"/>
      <c r="J29" s="229"/>
      <c r="K29" s="230"/>
      <c r="L29" s="231"/>
      <c r="M29" s="229"/>
      <c r="N29" s="229"/>
      <c r="O29" s="229"/>
      <c r="P29" s="230"/>
    </row>
    <row r="30" spans="1:16" s="129" customFormat="1" ht="22.5" customHeight="1">
      <c r="A30" s="214" t="s">
        <v>70</v>
      </c>
      <c r="B30" s="215" t="s">
        <v>148</v>
      </c>
      <c r="C30" s="253" t="s">
        <v>149</v>
      </c>
      <c r="D30" s="217" t="s">
        <v>24</v>
      </c>
      <c r="E30" s="218">
        <v>5.34</v>
      </c>
      <c r="F30" s="219"/>
      <c r="G30" s="220"/>
      <c r="H30" s="221"/>
      <c r="I30" s="221"/>
      <c r="J30" s="221"/>
      <c r="K30" s="222"/>
      <c r="L30" s="223"/>
      <c r="M30" s="221"/>
      <c r="N30" s="221"/>
      <c r="O30" s="221"/>
      <c r="P30" s="222"/>
    </row>
    <row r="31" spans="1:16" s="129" customFormat="1" ht="24.75" customHeight="1">
      <c r="A31" s="224"/>
      <c r="B31" s="225"/>
      <c r="C31" s="226" t="s">
        <v>150</v>
      </c>
      <c r="D31" s="246" t="s">
        <v>24</v>
      </c>
      <c r="E31" s="227">
        <f>E30*0.95</f>
        <v>5.0729999999999995</v>
      </c>
      <c r="F31" s="228"/>
      <c r="G31" s="229"/>
      <c r="H31" s="229"/>
      <c r="I31" s="229"/>
      <c r="J31" s="229"/>
      <c r="K31" s="230"/>
      <c r="L31" s="231"/>
      <c r="M31" s="229"/>
      <c r="N31" s="229"/>
      <c r="O31" s="229"/>
      <c r="P31" s="230"/>
    </row>
    <row r="32" spans="1:16" s="129" customFormat="1">
      <c r="A32" s="224"/>
      <c r="B32" s="232"/>
      <c r="C32" s="233" t="s">
        <v>93</v>
      </c>
      <c r="D32" s="225" t="s">
        <v>28</v>
      </c>
      <c r="E32" s="227">
        <f>E30*0.33</f>
        <v>1.7622</v>
      </c>
      <c r="F32" s="228"/>
      <c r="G32" s="229"/>
      <c r="H32" s="229"/>
      <c r="I32" s="229"/>
      <c r="J32" s="229"/>
      <c r="K32" s="230"/>
      <c r="L32" s="231"/>
      <c r="M32" s="229"/>
      <c r="N32" s="229"/>
      <c r="O32" s="229"/>
      <c r="P32" s="230"/>
    </row>
    <row r="33" spans="1:21" s="129" customFormat="1">
      <c r="A33" s="224"/>
      <c r="B33" s="232"/>
      <c r="C33" s="233" t="s">
        <v>94</v>
      </c>
      <c r="D33" s="225" t="s">
        <v>28</v>
      </c>
      <c r="E33" s="227">
        <f>SUM(E31:E31)*10</f>
        <v>50.73</v>
      </c>
      <c r="F33" s="228"/>
      <c r="G33" s="229"/>
      <c r="H33" s="229"/>
      <c r="I33" s="229"/>
      <c r="J33" s="229"/>
      <c r="K33" s="230"/>
      <c r="L33" s="231"/>
      <c r="M33" s="229"/>
      <c r="N33" s="229"/>
      <c r="O33" s="229"/>
      <c r="P33" s="230"/>
    </row>
    <row r="34" spans="1:21" s="197" customFormat="1">
      <c r="A34" s="486" t="s">
        <v>138</v>
      </c>
      <c r="B34" s="487"/>
      <c r="C34" s="487"/>
      <c r="D34" s="487"/>
      <c r="E34" s="488"/>
      <c r="F34" s="208"/>
      <c r="G34" s="209"/>
      <c r="H34" s="209"/>
      <c r="I34" s="209"/>
      <c r="J34" s="209"/>
      <c r="K34" s="210"/>
      <c r="L34" s="211"/>
      <c r="M34" s="211"/>
      <c r="N34" s="211"/>
      <c r="O34" s="211"/>
      <c r="P34" s="212"/>
      <c r="Q34" s="115"/>
      <c r="R34" s="115"/>
      <c r="S34" s="115"/>
      <c r="T34" s="115"/>
      <c r="U34" s="115"/>
    </row>
    <row r="35" spans="1:21" s="115" customFormat="1" ht="33.75">
      <c r="A35" s="105" t="s">
        <v>3</v>
      </c>
      <c r="B35" s="213" t="s">
        <v>25</v>
      </c>
      <c r="C35" s="199" t="s">
        <v>121</v>
      </c>
      <c r="D35" s="108" t="s">
        <v>24</v>
      </c>
      <c r="E35" s="109">
        <v>75.099999999999994</v>
      </c>
      <c r="F35" s="110"/>
      <c r="G35" s="111"/>
      <c r="H35" s="112"/>
      <c r="I35" s="112"/>
      <c r="J35" s="111"/>
      <c r="K35" s="113"/>
      <c r="L35" s="114"/>
      <c r="M35" s="112"/>
      <c r="N35" s="112"/>
      <c r="O35" s="112"/>
      <c r="P35" s="113"/>
    </row>
    <row r="36" spans="1:21" s="115" customFormat="1">
      <c r="A36" s="122"/>
      <c r="B36" s="150"/>
      <c r="C36" s="151" t="s">
        <v>75</v>
      </c>
      <c r="D36" s="123" t="s">
        <v>78</v>
      </c>
      <c r="E36" s="152">
        <f>0.95*E35</f>
        <v>71.344999999999985</v>
      </c>
      <c r="F36" s="124"/>
      <c r="G36" s="126"/>
      <c r="H36" s="126"/>
      <c r="I36" s="126"/>
      <c r="J36" s="125"/>
      <c r="K36" s="127"/>
      <c r="L36" s="128"/>
      <c r="M36" s="126"/>
      <c r="N36" s="126"/>
      <c r="O36" s="126"/>
      <c r="P36" s="127"/>
    </row>
    <row r="37" spans="1:21" s="115" customFormat="1">
      <c r="A37" s="122"/>
      <c r="B37" s="150"/>
      <c r="C37" s="153" t="s">
        <v>76</v>
      </c>
      <c r="D37" s="123" t="s">
        <v>78</v>
      </c>
      <c r="E37" s="152">
        <f>0.25*E35</f>
        <v>18.774999999999999</v>
      </c>
      <c r="F37" s="124"/>
      <c r="G37" s="126"/>
      <c r="H37" s="126"/>
      <c r="I37" s="154"/>
      <c r="J37" s="125"/>
      <c r="K37" s="127"/>
      <c r="L37" s="128"/>
      <c r="M37" s="126"/>
      <c r="N37" s="126"/>
      <c r="O37" s="126"/>
      <c r="P37" s="127"/>
    </row>
    <row r="38" spans="1:21" s="115" customFormat="1" ht="24" customHeight="1">
      <c r="A38" s="122"/>
      <c r="B38" s="150"/>
      <c r="C38" s="155" t="s">
        <v>79</v>
      </c>
      <c r="D38" s="123" t="s">
        <v>78</v>
      </c>
      <c r="E38" s="152">
        <f>E34*0.45</f>
        <v>0</v>
      </c>
      <c r="F38" s="124"/>
      <c r="G38" s="126"/>
      <c r="H38" s="126"/>
      <c r="I38" s="126"/>
      <c r="J38" s="125"/>
      <c r="K38" s="127"/>
      <c r="L38" s="128"/>
      <c r="M38" s="126"/>
      <c r="N38" s="126"/>
      <c r="O38" s="126"/>
      <c r="P38" s="127"/>
    </row>
    <row r="39" spans="1:21" s="115" customFormat="1" ht="23.25" customHeight="1">
      <c r="A39" s="130" t="s">
        <v>29</v>
      </c>
      <c r="B39" s="131" t="s">
        <v>25</v>
      </c>
      <c r="C39" s="199" t="s">
        <v>179</v>
      </c>
      <c r="D39" s="133" t="s">
        <v>24</v>
      </c>
      <c r="E39" s="134">
        <v>15.4</v>
      </c>
      <c r="F39" s="200"/>
      <c r="G39" s="111"/>
      <c r="H39" s="111"/>
      <c r="I39" s="112"/>
      <c r="J39" s="111"/>
      <c r="K39" s="201"/>
      <c r="L39" s="202"/>
      <c r="M39" s="111"/>
      <c r="N39" s="111"/>
      <c r="O39" s="111"/>
      <c r="P39" s="201"/>
    </row>
    <row r="40" spans="1:21" s="115" customFormat="1">
      <c r="A40" s="156"/>
      <c r="B40" s="157"/>
      <c r="C40" s="171" t="s">
        <v>100</v>
      </c>
      <c r="D40" s="172" t="s">
        <v>78</v>
      </c>
      <c r="E40" s="173">
        <f>E39*0.47</f>
        <v>7.2379999999999995</v>
      </c>
      <c r="F40" s="203"/>
      <c r="G40" s="125"/>
      <c r="H40" s="125"/>
      <c r="I40" s="175"/>
      <c r="J40" s="125"/>
      <c r="K40" s="204"/>
      <c r="L40" s="205"/>
      <c r="M40" s="125"/>
      <c r="N40" s="125"/>
      <c r="O40" s="125"/>
      <c r="P40" s="204"/>
    </row>
    <row r="41" spans="1:21" s="115" customFormat="1" ht="23.25" customHeight="1">
      <c r="A41" s="214" t="s">
        <v>47</v>
      </c>
      <c r="B41" s="131" t="s">
        <v>25</v>
      </c>
      <c r="C41" s="253" t="s">
        <v>151</v>
      </c>
      <c r="D41" s="217" t="s">
        <v>23</v>
      </c>
      <c r="E41" s="218">
        <v>2</v>
      </c>
      <c r="F41" s="219"/>
      <c r="G41" s="220"/>
      <c r="H41" s="221"/>
      <c r="I41" s="221"/>
      <c r="J41" s="221"/>
      <c r="K41" s="222"/>
      <c r="L41" s="223"/>
      <c r="M41" s="221"/>
      <c r="N41" s="221"/>
      <c r="O41" s="221"/>
      <c r="P41" s="222"/>
    </row>
    <row r="42" spans="1:21" s="115" customFormat="1">
      <c r="A42" s="224"/>
      <c r="B42" s="225"/>
      <c r="C42" s="226" t="s">
        <v>152</v>
      </c>
      <c r="D42" s="225" t="s">
        <v>23</v>
      </c>
      <c r="E42" s="227">
        <f>E41*1.1</f>
        <v>2.2000000000000002</v>
      </c>
      <c r="F42" s="228"/>
      <c r="G42" s="229"/>
      <c r="H42" s="229"/>
      <c r="I42" s="229"/>
      <c r="J42" s="229"/>
      <c r="K42" s="230"/>
      <c r="L42" s="231"/>
      <c r="M42" s="229"/>
      <c r="N42" s="229"/>
      <c r="O42" s="229"/>
      <c r="P42" s="230"/>
    </row>
    <row r="43" spans="1:21" s="115" customFormat="1">
      <c r="A43" s="224"/>
      <c r="B43" s="232"/>
      <c r="C43" s="233" t="s">
        <v>143</v>
      </c>
      <c r="D43" s="225" t="s">
        <v>27</v>
      </c>
      <c r="E43" s="227">
        <f>E41*12</f>
        <v>24</v>
      </c>
      <c r="F43" s="228"/>
      <c r="G43" s="229"/>
      <c r="H43" s="229"/>
      <c r="I43" s="229"/>
      <c r="J43" s="229"/>
      <c r="K43" s="230"/>
      <c r="L43" s="231"/>
      <c r="M43" s="229"/>
      <c r="N43" s="229"/>
      <c r="O43" s="229"/>
      <c r="P43" s="230"/>
    </row>
    <row r="44" spans="1:21" s="115" customFormat="1">
      <c r="A44" s="486" t="s">
        <v>139</v>
      </c>
      <c r="B44" s="487"/>
      <c r="C44" s="487"/>
      <c r="D44" s="487"/>
      <c r="E44" s="488"/>
      <c r="F44" s="208"/>
      <c r="G44" s="209"/>
      <c r="H44" s="209"/>
      <c r="I44" s="209"/>
      <c r="J44" s="209"/>
      <c r="K44" s="210"/>
      <c r="L44" s="211"/>
      <c r="M44" s="211"/>
      <c r="N44" s="211"/>
      <c r="O44" s="211"/>
      <c r="P44" s="212"/>
    </row>
    <row r="45" spans="1:21" s="115" customFormat="1" ht="33.75">
      <c r="A45" s="105" t="s">
        <v>3</v>
      </c>
      <c r="B45" s="213" t="s">
        <v>25</v>
      </c>
      <c r="C45" s="199" t="s">
        <v>121</v>
      </c>
      <c r="D45" s="108" t="s">
        <v>24</v>
      </c>
      <c r="E45" s="109">
        <v>48.3</v>
      </c>
      <c r="F45" s="110"/>
      <c r="G45" s="111"/>
      <c r="H45" s="112"/>
      <c r="I45" s="112"/>
      <c r="J45" s="111"/>
      <c r="K45" s="113"/>
      <c r="L45" s="114"/>
      <c r="M45" s="112"/>
      <c r="N45" s="112"/>
      <c r="O45" s="112"/>
      <c r="P45" s="113"/>
    </row>
    <row r="46" spans="1:21" s="115" customFormat="1">
      <c r="A46" s="122"/>
      <c r="B46" s="150"/>
      <c r="C46" s="151" t="s">
        <v>75</v>
      </c>
      <c r="D46" s="123" t="s">
        <v>78</v>
      </c>
      <c r="E46" s="152">
        <f>0.95*E45</f>
        <v>45.884999999999998</v>
      </c>
      <c r="F46" s="124"/>
      <c r="G46" s="126"/>
      <c r="H46" s="126"/>
      <c r="I46" s="126"/>
      <c r="J46" s="125"/>
      <c r="K46" s="127"/>
      <c r="L46" s="128"/>
      <c r="M46" s="126"/>
      <c r="N46" s="126"/>
      <c r="O46" s="126"/>
      <c r="P46" s="127"/>
    </row>
    <row r="47" spans="1:21" s="115" customFormat="1">
      <c r="A47" s="122"/>
      <c r="B47" s="150"/>
      <c r="C47" s="153" t="s">
        <v>76</v>
      </c>
      <c r="D47" s="123" t="s">
        <v>78</v>
      </c>
      <c r="E47" s="152">
        <f>0.25*E45</f>
        <v>12.074999999999999</v>
      </c>
      <c r="F47" s="124"/>
      <c r="G47" s="126"/>
      <c r="H47" s="126"/>
      <c r="I47" s="154"/>
      <c r="J47" s="125"/>
      <c r="K47" s="127"/>
      <c r="L47" s="128"/>
      <c r="M47" s="126"/>
      <c r="N47" s="126"/>
      <c r="O47" s="126"/>
      <c r="P47" s="127"/>
    </row>
    <row r="48" spans="1:21" s="115" customFormat="1" ht="23.25" customHeight="1">
      <c r="A48" s="122"/>
      <c r="B48" s="150"/>
      <c r="C48" s="155" t="s">
        <v>79</v>
      </c>
      <c r="D48" s="123" t="s">
        <v>78</v>
      </c>
      <c r="E48" s="152">
        <f>E44*0.45</f>
        <v>0</v>
      </c>
      <c r="F48" s="124"/>
      <c r="G48" s="126"/>
      <c r="H48" s="126"/>
      <c r="I48" s="126"/>
      <c r="J48" s="125"/>
      <c r="K48" s="127"/>
      <c r="L48" s="128"/>
      <c r="M48" s="126"/>
      <c r="N48" s="126"/>
      <c r="O48" s="126"/>
      <c r="P48" s="127"/>
    </row>
    <row r="49" spans="1:21" s="197" customFormat="1">
      <c r="A49" s="486" t="s">
        <v>127</v>
      </c>
      <c r="B49" s="487"/>
      <c r="C49" s="487"/>
      <c r="D49" s="487"/>
      <c r="E49" s="488"/>
      <c r="F49" s="208"/>
      <c r="G49" s="209"/>
      <c r="H49" s="209"/>
      <c r="I49" s="209"/>
      <c r="J49" s="209"/>
      <c r="K49" s="210"/>
      <c r="L49" s="211"/>
      <c r="M49" s="211"/>
      <c r="N49" s="211"/>
      <c r="O49" s="211"/>
      <c r="P49" s="212"/>
      <c r="Q49" s="115"/>
      <c r="R49" s="115"/>
      <c r="S49" s="115"/>
      <c r="T49" s="115"/>
      <c r="U49" s="115"/>
    </row>
    <row r="50" spans="1:21" s="198" customFormat="1" ht="34.5" customHeight="1">
      <c r="A50" s="105" t="s">
        <v>3</v>
      </c>
      <c r="B50" s="213" t="s">
        <v>25</v>
      </c>
      <c r="C50" s="107" t="s">
        <v>77</v>
      </c>
      <c r="D50" s="108" t="s">
        <v>24</v>
      </c>
      <c r="E50" s="109">
        <v>25.7</v>
      </c>
      <c r="F50" s="110"/>
      <c r="G50" s="111"/>
      <c r="H50" s="112"/>
      <c r="I50" s="112"/>
      <c r="J50" s="111"/>
      <c r="K50" s="113"/>
      <c r="L50" s="114"/>
      <c r="M50" s="112"/>
      <c r="N50" s="112"/>
      <c r="O50" s="112"/>
      <c r="P50" s="113"/>
      <c r="Q50" s="51"/>
      <c r="R50" s="51"/>
      <c r="S50" s="51"/>
      <c r="T50" s="51"/>
      <c r="U50" s="51"/>
    </row>
    <row r="51" spans="1:21" s="198" customFormat="1" ht="12" customHeight="1">
      <c r="A51" s="122"/>
      <c r="B51" s="150"/>
      <c r="C51" s="151" t="s">
        <v>75</v>
      </c>
      <c r="D51" s="123" t="s">
        <v>78</v>
      </c>
      <c r="E51" s="152">
        <f>0.95*E50</f>
        <v>24.414999999999999</v>
      </c>
      <c r="F51" s="124"/>
      <c r="G51" s="126"/>
      <c r="H51" s="126"/>
      <c r="I51" s="126"/>
      <c r="J51" s="125"/>
      <c r="K51" s="127"/>
      <c r="L51" s="128"/>
      <c r="M51" s="126"/>
      <c r="N51" s="126"/>
      <c r="O51" s="126"/>
      <c r="P51" s="127"/>
      <c r="Q51" s="51"/>
      <c r="R51" s="51"/>
      <c r="S51" s="51"/>
      <c r="T51" s="51"/>
      <c r="U51" s="51"/>
    </row>
    <row r="52" spans="1:21" s="198" customFormat="1" ht="12" customHeight="1">
      <c r="A52" s="122"/>
      <c r="B52" s="150"/>
      <c r="C52" s="153" t="s">
        <v>76</v>
      </c>
      <c r="D52" s="123" t="s">
        <v>78</v>
      </c>
      <c r="E52" s="152">
        <f>0.25*E50</f>
        <v>6.4249999999999998</v>
      </c>
      <c r="F52" s="124"/>
      <c r="G52" s="126"/>
      <c r="H52" s="126"/>
      <c r="I52" s="154"/>
      <c r="J52" s="125"/>
      <c r="K52" s="127"/>
      <c r="L52" s="128"/>
      <c r="M52" s="126"/>
      <c r="N52" s="126"/>
      <c r="O52" s="126"/>
      <c r="P52" s="127"/>
      <c r="Q52" s="51"/>
      <c r="R52" s="51"/>
      <c r="S52" s="51"/>
      <c r="T52" s="51"/>
      <c r="U52" s="51"/>
    </row>
    <row r="53" spans="1:21" s="198" customFormat="1" ht="12" customHeight="1">
      <c r="A53" s="122"/>
      <c r="B53" s="150"/>
      <c r="C53" s="155" t="s">
        <v>79</v>
      </c>
      <c r="D53" s="123" t="s">
        <v>78</v>
      </c>
      <c r="E53" s="152">
        <f>E50*0.45</f>
        <v>11.565</v>
      </c>
      <c r="F53" s="124"/>
      <c r="G53" s="126"/>
      <c r="H53" s="126"/>
      <c r="I53" s="126"/>
      <c r="J53" s="125"/>
      <c r="K53" s="127"/>
      <c r="L53" s="128"/>
      <c r="M53" s="126"/>
      <c r="N53" s="126"/>
      <c r="O53" s="126"/>
      <c r="P53" s="127"/>
      <c r="Q53" s="51"/>
      <c r="R53" s="51"/>
      <c r="S53" s="51"/>
      <c r="T53" s="51"/>
      <c r="U53" s="51"/>
    </row>
    <row r="54" spans="1:21" s="51" customFormat="1" ht="12" customHeight="1">
      <c r="A54" s="214" t="s">
        <v>29</v>
      </c>
      <c r="B54" s="215" t="s">
        <v>132</v>
      </c>
      <c r="C54" s="216" t="s">
        <v>131</v>
      </c>
      <c r="D54" s="217" t="s">
        <v>133</v>
      </c>
      <c r="E54" s="218">
        <v>15</v>
      </c>
      <c r="F54" s="219"/>
      <c r="G54" s="220"/>
      <c r="H54" s="221"/>
      <c r="I54" s="221"/>
      <c r="J54" s="221"/>
      <c r="K54" s="222"/>
      <c r="L54" s="223"/>
      <c r="M54" s="221"/>
      <c r="N54" s="221"/>
      <c r="O54" s="221"/>
      <c r="P54" s="222"/>
    </row>
    <row r="55" spans="1:21" s="51" customFormat="1" ht="12" customHeight="1">
      <c r="A55" s="224"/>
      <c r="B55" s="225"/>
      <c r="C55" s="226" t="s">
        <v>135</v>
      </c>
      <c r="D55" s="225" t="s">
        <v>78</v>
      </c>
      <c r="E55" s="227">
        <f>E54*7</f>
        <v>105</v>
      </c>
      <c r="F55" s="228"/>
      <c r="G55" s="229"/>
      <c r="H55" s="229"/>
      <c r="I55" s="229"/>
      <c r="J55" s="229"/>
      <c r="K55" s="230"/>
      <c r="L55" s="231"/>
      <c r="M55" s="229"/>
      <c r="N55" s="229"/>
      <c r="O55" s="229"/>
      <c r="P55" s="230"/>
    </row>
    <row r="56" spans="1:21" s="51" customFormat="1" ht="12" customHeight="1">
      <c r="A56" s="224"/>
      <c r="B56" s="232"/>
      <c r="C56" s="233" t="s">
        <v>134</v>
      </c>
      <c r="D56" s="225" t="s">
        <v>78</v>
      </c>
      <c r="E56" s="227">
        <f>E51*0.93</f>
        <v>22.705950000000001</v>
      </c>
      <c r="F56" s="228"/>
      <c r="G56" s="229"/>
      <c r="H56" s="229"/>
      <c r="I56" s="229"/>
      <c r="J56" s="229"/>
      <c r="K56" s="230"/>
      <c r="L56" s="231"/>
      <c r="M56" s="229"/>
      <c r="N56" s="229"/>
      <c r="O56" s="229"/>
      <c r="P56" s="230"/>
    </row>
    <row r="57" spans="1:21" s="115" customFormat="1" ht="12" thickBot="1">
      <c r="A57" s="492" t="s">
        <v>2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4"/>
      <c r="L57" s="179">
        <f>SUM(L14:L53)</f>
        <v>0</v>
      </c>
      <c r="M57" s="179">
        <f>SUM(M14:M53)</f>
        <v>0</v>
      </c>
      <c r="N57" s="180"/>
      <c r="O57" s="179">
        <f>SUM(O14:O53)</f>
        <v>0</v>
      </c>
      <c r="P57" s="181">
        <f>SUM(P14:P53)</f>
        <v>0</v>
      </c>
    </row>
    <row r="58" spans="1:21" s="115" customFormat="1" ht="12" thickBot="1">
      <c r="A58" s="489" t="s">
        <v>261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1"/>
      <c r="L58" s="182"/>
      <c r="M58" s="183"/>
      <c r="N58" s="184"/>
      <c r="O58" s="183"/>
      <c r="P58" s="185">
        <f>0.1*N57</f>
        <v>0</v>
      </c>
    </row>
    <row r="59" spans="1:21" s="115" customFormat="1" ht="12" thickBot="1">
      <c r="A59" s="489" t="s">
        <v>2</v>
      </c>
      <c r="B59" s="490"/>
      <c r="C59" s="490"/>
      <c r="D59" s="490"/>
      <c r="E59" s="490"/>
      <c r="F59" s="490"/>
      <c r="G59" s="490"/>
      <c r="H59" s="490"/>
      <c r="I59" s="490"/>
      <c r="J59" s="490"/>
      <c r="K59" s="491"/>
      <c r="L59" s="186">
        <f>SUM(L57:L58)</f>
        <v>0</v>
      </c>
      <c r="M59" s="187">
        <f>SUM(M57:M58)</f>
        <v>0</v>
      </c>
      <c r="N59" s="187">
        <f>SUM(N57:N58)</f>
        <v>0</v>
      </c>
      <c r="O59" s="187">
        <f>SUM(O57:O58)</f>
        <v>0</v>
      </c>
      <c r="P59" s="188">
        <f>SUM(P57:P58)</f>
        <v>0</v>
      </c>
    </row>
    <row r="60" spans="1:21" s="115" customForma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90"/>
      <c r="M60" s="190"/>
      <c r="N60" s="190"/>
      <c r="O60" s="190"/>
      <c r="P60" s="190"/>
    </row>
    <row r="61" spans="1:21" s="115" customForma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90"/>
      <c r="M61" s="190"/>
      <c r="N61" s="190"/>
      <c r="O61" s="190"/>
      <c r="P61" s="190"/>
    </row>
    <row r="62" spans="1:21" s="115" customForma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90"/>
      <c r="M62" s="190"/>
      <c r="N62" s="190"/>
      <c r="O62" s="190"/>
      <c r="P62" s="190"/>
    </row>
    <row r="63" spans="1:21" s="115" customFormat="1" ht="12.75">
      <c r="B63" s="191"/>
      <c r="H63" s="192"/>
      <c r="I63" s="193"/>
    </row>
    <row r="64" spans="1:21" s="115" customFormat="1" ht="12.75">
      <c r="H64" s="194"/>
      <c r="O64" s="195"/>
      <c r="R64" s="196"/>
    </row>
    <row r="65" s="115" customFormat="1"/>
  </sheetData>
  <mergeCells count="21">
    <mergeCell ref="A34:E34"/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L12:P12"/>
    <mergeCell ref="A14:E14"/>
    <mergeCell ref="F14:K14"/>
    <mergeCell ref="L14:P14"/>
    <mergeCell ref="A15:E15"/>
    <mergeCell ref="A44:E44"/>
    <mergeCell ref="A49:E49"/>
    <mergeCell ref="A57:K57"/>
    <mergeCell ref="A58:K58"/>
    <mergeCell ref="A59:K59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3"/>
  <sheetViews>
    <sheetView showZeros="0" topLeftCell="A7" zoomScale="145" zoomScaleNormal="145" workbookViewId="0">
      <selection activeCell="K43" sqref="K43"/>
    </sheetView>
  </sheetViews>
  <sheetFormatPr defaultRowHeight="11.25"/>
  <cols>
    <col min="1" max="1" width="3" style="101" customWidth="1"/>
    <col min="2" max="2" width="9" style="104" customWidth="1"/>
    <col min="3" max="3" width="30.140625" style="101" customWidth="1"/>
    <col min="4" max="4" width="6.140625" style="101" bestFit="1" customWidth="1"/>
    <col min="5" max="5" width="8.7109375" style="101" customWidth="1"/>
    <col min="6" max="6" width="6" style="101" customWidth="1"/>
    <col min="7" max="7" width="8" style="101" customWidth="1"/>
    <col min="8" max="8" width="6.5703125" style="101" bestFit="1" customWidth="1"/>
    <col min="9" max="9" width="7.5703125" style="101" bestFit="1" customWidth="1"/>
    <col min="10" max="10" width="6.5703125" style="101" bestFit="1" customWidth="1"/>
    <col min="11" max="11" width="7.5703125" style="101" bestFit="1" customWidth="1"/>
    <col min="12" max="12" width="8.28515625" style="101" customWidth="1"/>
    <col min="13" max="13" width="9.85546875" style="101" customWidth="1"/>
    <col min="14" max="14" width="9.5703125" style="101" bestFit="1" customWidth="1"/>
    <col min="15" max="15" width="8.5703125" style="101" bestFit="1" customWidth="1"/>
    <col min="16" max="16" width="10.7109375" style="101" customWidth="1"/>
    <col min="17" max="16384" width="9.140625" style="101"/>
  </cols>
  <sheetData>
    <row r="2" spans="1:16" s="51" customFormat="1">
      <c r="B2" s="62"/>
    </row>
    <row r="3" spans="1:16" s="51" customFormat="1" ht="14.25">
      <c r="A3" s="462" t="s">
        <v>97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s="51" customFormat="1" ht="14.25">
      <c r="A4" s="462" t="str">
        <f>'O1'!B21</f>
        <v>Telpu remonts 3.grupa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6" s="51" customFormat="1" ht="12.75">
      <c r="A5" s="74" t="s">
        <v>58</v>
      </c>
      <c r="B5" s="98"/>
      <c r="C5" s="76"/>
      <c r="D5" s="95"/>
      <c r="E5" s="95"/>
      <c r="F5" s="95"/>
      <c r="G5" s="95"/>
      <c r="H5" s="95"/>
      <c r="I5" s="53"/>
      <c r="J5" s="53"/>
      <c r="K5" s="53"/>
      <c r="L5" s="53"/>
      <c r="M5" s="53"/>
      <c r="N5" s="53"/>
      <c r="O5" s="53"/>
      <c r="P5" s="53"/>
    </row>
    <row r="6" spans="1:16" s="51" customFormat="1" ht="12.75">
      <c r="A6" s="40" t="s">
        <v>30</v>
      </c>
      <c r="B6" s="98"/>
      <c r="C6" s="77"/>
      <c r="D6" s="96"/>
      <c r="E6" s="95"/>
      <c r="F6" s="95"/>
      <c r="G6" s="95"/>
      <c r="H6" s="95"/>
      <c r="I6" s="53"/>
      <c r="J6" s="53"/>
      <c r="K6" s="53"/>
      <c r="L6" s="53"/>
      <c r="M6" s="53"/>
      <c r="N6" s="53"/>
      <c r="O6" s="53"/>
      <c r="P6" s="53"/>
    </row>
    <row r="7" spans="1:16" s="51" customFormat="1" ht="12.75">
      <c r="A7" s="40" t="s">
        <v>57</v>
      </c>
      <c r="B7" s="98"/>
      <c r="C7" s="77"/>
      <c r="D7" s="96"/>
      <c r="E7" s="95"/>
      <c r="F7" s="95"/>
      <c r="G7" s="95"/>
      <c r="H7" s="95"/>
      <c r="I7" s="53"/>
      <c r="J7" s="53"/>
      <c r="K7" s="53"/>
      <c r="L7" s="53"/>
      <c r="M7" s="53"/>
      <c r="N7" s="53"/>
      <c r="O7" s="53"/>
      <c r="P7" s="53"/>
    </row>
    <row r="8" spans="1:16" s="51" customFormat="1" ht="12" customHeight="1">
      <c r="A8" s="97"/>
      <c r="B8" s="98"/>
      <c r="C8" s="77"/>
      <c r="D8" s="96"/>
      <c r="E8" s="95"/>
      <c r="F8" s="74"/>
      <c r="G8" s="95"/>
      <c r="H8" s="95"/>
      <c r="I8" s="53"/>
      <c r="J8" s="53"/>
      <c r="K8" s="53"/>
      <c r="L8" s="56"/>
      <c r="M8" s="53"/>
      <c r="N8" s="57"/>
      <c r="O8" s="57"/>
      <c r="P8" s="53"/>
    </row>
    <row r="9" spans="1:16" s="51" customFormat="1" ht="12.75" customHeight="1">
      <c r="A9" s="40" t="s">
        <v>4</v>
      </c>
      <c r="B9" s="98"/>
      <c r="C9" s="77"/>
      <c r="D9" s="96"/>
      <c r="E9" s="95"/>
      <c r="F9" s="74"/>
      <c r="G9" s="95"/>
      <c r="H9" s="95"/>
      <c r="I9" s="53"/>
      <c r="J9" s="53"/>
      <c r="K9" s="53"/>
      <c r="L9" s="463" t="s">
        <v>43</v>
      </c>
      <c r="M9" s="463"/>
      <c r="N9" s="463"/>
      <c r="O9" s="457"/>
      <c r="P9" s="457"/>
    </row>
    <row r="10" spans="1:16" s="51" customFormat="1" ht="12.75">
      <c r="A10" s="40"/>
      <c r="B10" s="98"/>
      <c r="C10" s="77"/>
      <c r="D10" s="96"/>
      <c r="E10" s="95"/>
      <c r="F10" s="74"/>
      <c r="G10" s="95"/>
      <c r="H10" s="95"/>
      <c r="I10" s="53"/>
      <c r="J10" s="53"/>
      <c r="K10" s="53"/>
      <c r="L10" s="74"/>
      <c r="M10" s="95"/>
      <c r="N10" s="99"/>
      <c r="O10" s="99"/>
      <c r="P10" s="95"/>
    </row>
    <row r="11" spans="1:16" s="51" customFormat="1" ht="12" thickBot="1">
      <c r="A11" s="58"/>
      <c r="B11" s="55"/>
      <c r="C11" s="52"/>
      <c r="D11" s="53"/>
      <c r="E11" s="53"/>
      <c r="F11" s="53"/>
      <c r="G11" s="53"/>
      <c r="H11" s="53"/>
      <c r="I11" s="53"/>
      <c r="J11" s="53"/>
      <c r="K11" s="53"/>
      <c r="L11" s="56"/>
      <c r="M11" s="53"/>
      <c r="N11" s="53"/>
      <c r="O11" s="53"/>
      <c r="P11" s="53"/>
    </row>
    <row r="12" spans="1:16" s="51" customFormat="1">
      <c r="A12" s="473" t="s">
        <v>5</v>
      </c>
      <c r="B12" s="475" t="s">
        <v>6</v>
      </c>
      <c r="C12" s="458" t="s">
        <v>7</v>
      </c>
      <c r="D12" s="460" t="s">
        <v>0</v>
      </c>
      <c r="E12" s="477" t="s">
        <v>1</v>
      </c>
      <c r="F12" s="479" t="s">
        <v>8</v>
      </c>
      <c r="G12" s="465"/>
      <c r="H12" s="465"/>
      <c r="I12" s="465"/>
      <c r="J12" s="465"/>
      <c r="K12" s="466"/>
      <c r="L12" s="464" t="s">
        <v>9</v>
      </c>
      <c r="M12" s="465"/>
      <c r="N12" s="465"/>
      <c r="O12" s="465"/>
      <c r="P12" s="466"/>
    </row>
    <row r="13" spans="1:16" s="51" customFormat="1" ht="77.25" customHeight="1">
      <c r="A13" s="474"/>
      <c r="B13" s="476"/>
      <c r="C13" s="459"/>
      <c r="D13" s="461"/>
      <c r="E13" s="478"/>
      <c r="F13" s="117" t="s">
        <v>10</v>
      </c>
      <c r="G13" s="59" t="s">
        <v>46</v>
      </c>
      <c r="H13" s="59" t="s">
        <v>38</v>
      </c>
      <c r="I13" s="59" t="s">
        <v>37</v>
      </c>
      <c r="J13" s="59" t="s">
        <v>39</v>
      </c>
      <c r="K13" s="60" t="s">
        <v>44</v>
      </c>
      <c r="L13" s="61" t="s">
        <v>11</v>
      </c>
      <c r="M13" s="59" t="s">
        <v>38</v>
      </c>
      <c r="N13" s="59" t="s">
        <v>37</v>
      </c>
      <c r="O13" s="59" t="s">
        <v>39</v>
      </c>
      <c r="P13" s="60" t="s">
        <v>45</v>
      </c>
    </row>
    <row r="14" spans="1:16" s="51" customFormat="1" ht="12.75" customHeight="1">
      <c r="A14" s="483" t="s">
        <v>66</v>
      </c>
      <c r="B14" s="484"/>
      <c r="C14" s="484"/>
      <c r="D14" s="484"/>
      <c r="E14" s="485"/>
      <c r="F14" s="480"/>
      <c r="G14" s="481"/>
      <c r="H14" s="481"/>
      <c r="I14" s="481"/>
      <c r="J14" s="481"/>
      <c r="K14" s="482"/>
      <c r="L14" s="454"/>
      <c r="M14" s="455"/>
      <c r="N14" s="455"/>
      <c r="O14" s="455"/>
      <c r="P14" s="456"/>
    </row>
    <row r="15" spans="1:16" s="51" customFormat="1" ht="12.75" customHeight="1">
      <c r="A15" s="486" t="s">
        <v>160</v>
      </c>
      <c r="B15" s="487"/>
      <c r="C15" s="487"/>
      <c r="D15" s="487"/>
      <c r="E15" s="488"/>
      <c r="F15" s="208"/>
      <c r="G15" s="209"/>
      <c r="H15" s="209"/>
      <c r="I15" s="209"/>
      <c r="J15" s="209"/>
      <c r="K15" s="210"/>
      <c r="L15" s="211"/>
      <c r="M15" s="211"/>
      <c r="N15" s="211"/>
      <c r="O15" s="211"/>
      <c r="P15" s="212"/>
    </row>
    <row r="16" spans="1:16" s="115" customFormat="1" ht="22.5">
      <c r="A16" s="130" t="s">
        <v>3</v>
      </c>
      <c r="B16" s="131" t="s">
        <v>25</v>
      </c>
      <c r="C16" s="132" t="s">
        <v>83</v>
      </c>
      <c r="D16" s="133" t="s">
        <v>23</v>
      </c>
      <c r="E16" s="134">
        <v>31.2</v>
      </c>
      <c r="F16" s="135"/>
      <c r="G16" s="111"/>
      <c r="H16" s="136"/>
      <c r="I16" s="112"/>
      <c r="J16" s="136"/>
      <c r="K16" s="137"/>
      <c r="L16" s="138"/>
      <c r="M16" s="136"/>
      <c r="N16" s="136"/>
      <c r="O16" s="136"/>
      <c r="P16" s="137"/>
    </row>
    <row r="17" spans="1:18" s="129" customFormat="1">
      <c r="A17" s="130" t="s">
        <v>29</v>
      </c>
      <c r="B17" s="131" t="s">
        <v>25</v>
      </c>
      <c r="C17" s="132" t="s">
        <v>84</v>
      </c>
      <c r="D17" s="133" t="s">
        <v>24</v>
      </c>
      <c r="E17" s="134">
        <v>50.4</v>
      </c>
      <c r="F17" s="135"/>
      <c r="G17" s="111"/>
      <c r="H17" s="136"/>
      <c r="I17" s="136"/>
      <c r="J17" s="136"/>
      <c r="K17" s="137"/>
      <c r="L17" s="138"/>
      <c r="M17" s="136"/>
      <c r="N17" s="136"/>
      <c r="O17" s="136"/>
      <c r="P17" s="137"/>
    </row>
    <row r="18" spans="1:18" s="129" customFormat="1" ht="22.5">
      <c r="A18" s="130" t="s">
        <v>47</v>
      </c>
      <c r="B18" s="131" t="s">
        <v>25</v>
      </c>
      <c r="C18" s="107" t="s">
        <v>91</v>
      </c>
      <c r="D18" s="139" t="s">
        <v>24</v>
      </c>
      <c r="E18" s="134">
        <v>50.4</v>
      </c>
      <c r="F18" s="140"/>
      <c r="G18" s="141"/>
      <c r="H18" s="141"/>
      <c r="I18" s="112"/>
      <c r="J18" s="141"/>
      <c r="K18" s="142"/>
      <c r="L18" s="143"/>
      <c r="M18" s="141"/>
      <c r="N18" s="141"/>
      <c r="O18" s="141"/>
      <c r="P18" s="142"/>
    </row>
    <row r="19" spans="1:18" s="129" customFormat="1" ht="22.5">
      <c r="A19" s="156"/>
      <c r="B19" s="157"/>
      <c r="C19" s="254" t="s">
        <v>85</v>
      </c>
      <c r="D19" s="159" t="s">
        <v>28</v>
      </c>
      <c r="E19" s="160">
        <v>12</v>
      </c>
      <c r="F19" s="161"/>
      <c r="G19" s="162"/>
      <c r="H19" s="162"/>
      <c r="I19" s="163"/>
      <c r="J19" s="162"/>
      <c r="K19" s="164"/>
      <c r="L19" s="165"/>
      <c r="M19" s="162"/>
      <c r="N19" s="162"/>
      <c r="O19" s="162"/>
      <c r="P19" s="164"/>
    </row>
    <row r="20" spans="1:18" s="129" customFormat="1" ht="22.5">
      <c r="A20" s="130" t="s">
        <v>48</v>
      </c>
      <c r="B20" s="145" t="s">
        <v>86</v>
      </c>
      <c r="C20" s="146" t="s">
        <v>87</v>
      </c>
      <c r="D20" s="139" t="s">
        <v>24</v>
      </c>
      <c r="E20" s="134">
        <v>50.4</v>
      </c>
      <c r="F20" s="147"/>
      <c r="G20" s="141"/>
      <c r="H20" s="144"/>
      <c r="I20" s="112"/>
      <c r="J20" s="144"/>
      <c r="K20" s="148"/>
      <c r="L20" s="149"/>
      <c r="M20" s="144"/>
      <c r="N20" s="144"/>
      <c r="O20" s="144"/>
      <c r="P20" s="148"/>
    </row>
    <row r="21" spans="1:18" s="129" customFormat="1" ht="33.75">
      <c r="A21" s="156"/>
      <c r="B21" s="166"/>
      <c r="C21" s="158" t="s">
        <v>88</v>
      </c>
      <c r="D21" s="159" t="s">
        <v>24</v>
      </c>
      <c r="E21" s="160">
        <f>1.05*E20</f>
        <v>52.92</v>
      </c>
      <c r="F21" s="167"/>
      <c r="G21" s="163"/>
      <c r="H21" s="163"/>
      <c r="I21" s="163"/>
      <c r="J21" s="163"/>
      <c r="K21" s="168"/>
      <c r="L21" s="169"/>
      <c r="M21" s="163"/>
      <c r="N21" s="163"/>
      <c r="O21" s="163"/>
      <c r="P21" s="168"/>
    </row>
    <row r="22" spans="1:18" s="129" customFormat="1">
      <c r="A22" s="156"/>
      <c r="B22" s="170"/>
      <c r="C22" s="171" t="s">
        <v>75</v>
      </c>
      <c r="D22" s="172" t="s">
        <v>78</v>
      </c>
      <c r="E22" s="173">
        <f>1.05*E21</f>
        <v>55.566000000000003</v>
      </c>
      <c r="F22" s="174"/>
      <c r="G22" s="175"/>
      <c r="H22" s="175"/>
      <c r="I22" s="175"/>
      <c r="J22" s="175"/>
      <c r="K22" s="176"/>
      <c r="L22" s="177"/>
      <c r="M22" s="175"/>
      <c r="N22" s="175"/>
      <c r="O22" s="175"/>
      <c r="P22" s="176"/>
    </row>
    <row r="23" spans="1:18" s="129" customFormat="1">
      <c r="A23" s="156"/>
      <c r="B23" s="166"/>
      <c r="C23" s="178" t="s">
        <v>89</v>
      </c>
      <c r="D23" s="159" t="s">
        <v>27</v>
      </c>
      <c r="E23" s="160">
        <f>0.3*E20/12</f>
        <v>1.26</v>
      </c>
      <c r="F23" s="167"/>
      <c r="G23" s="163"/>
      <c r="H23" s="163"/>
      <c r="I23" s="163"/>
      <c r="J23" s="163"/>
      <c r="K23" s="168"/>
      <c r="L23" s="169"/>
      <c r="M23" s="163"/>
      <c r="N23" s="163"/>
      <c r="O23" s="163"/>
      <c r="P23" s="168"/>
    </row>
    <row r="24" spans="1:18" s="129" customFormat="1">
      <c r="A24" s="156"/>
      <c r="B24" s="166"/>
      <c r="C24" s="178" t="s">
        <v>90</v>
      </c>
      <c r="D24" s="159" t="s">
        <v>23</v>
      </c>
      <c r="E24" s="160">
        <f>E20/2</f>
        <v>25.2</v>
      </c>
      <c r="F24" s="167"/>
      <c r="G24" s="163"/>
      <c r="H24" s="163"/>
      <c r="I24" s="163"/>
      <c r="J24" s="163"/>
      <c r="K24" s="168"/>
      <c r="L24" s="169"/>
      <c r="M24" s="163"/>
      <c r="N24" s="163"/>
      <c r="O24" s="163"/>
      <c r="P24" s="168"/>
    </row>
    <row r="25" spans="1:18" s="115" customFormat="1" ht="12" thickBot="1">
      <c r="A25" s="492" t="s">
        <v>2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4"/>
      <c r="L25" s="179">
        <f>SUM(L14:L24)</f>
        <v>0</v>
      </c>
      <c r="M25" s="179">
        <f>SUM(M14:M24)</f>
        <v>0</v>
      </c>
      <c r="N25" s="180"/>
      <c r="O25" s="179">
        <f>SUM(O14:O24)</f>
        <v>0</v>
      </c>
      <c r="P25" s="181">
        <f>SUM(P14:P24)</f>
        <v>0</v>
      </c>
    </row>
    <row r="26" spans="1:18" s="115" customFormat="1" ht="12" thickBot="1">
      <c r="A26" s="489" t="s">
        <v>261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1"/>
      <c r="L26" s="182"/>
      <c r="M26" s="183"/>
      <c r="N26" s="184"/>
      <c r="O26" s="183"/>
      <c r="P26" s="185">
        <f>0.1*N25</f>
        <v>0</v>
      </c>
    </row>
    <row r="27" spans="1:18" s="115" customFormat="1" ht="12" thickBot="1">
      <c r="A27" s="489" t="s">
        <v>2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1"/>
      <c r="L27" s="186">
        <f>SUM(L25:L26)</f>
        <v>0</v>
      </c>
      <c r="M27" s="187">
        <f>SUM(M25:M26)</f>
        <v>0</v>
      </c>
      <c r="N27" s="187">
        <f>SUM(N25:N26)</f>
        <v>0</v>
      </c>
      <c r="O27" s="187">
        <f>SUM(O25:O26)</f>
        <v>0</v>
      </c>
      <c r="P27" s="188">
        <f>SUM(P25:P26)</f>
        <v>0</v>
      </c>
    </row>
    <row r="28" spans="1:18" s="115" customForma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M28" s="190"/>
      <c r="N28" s="190"/>
      <c r="O28" s="190"/>
      <c r="P28" s="190"/>
    </row>
    <row r="29" spans="1:18" s="115" customForma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90"/>
      <c r="M29" s="190"/>
      <c r="N29" s="190"/>
      <c r="O29" s="190"/>
      <c r="P29" s="190"/>
    </row>
    <row r="30" spans="1:18" s="115" customForma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190"/>
      <c r="N30" s="190"/>
      <c r="O30" s="190"/>
      <c r="P30" s="190"/>
    </row>
    <row r="31" spans="1:18" s="115" customFormat="1" ht="12.75">
      <c r="B31" s="191"/>
      <c r="H31" s="192"/>
      <c r="I31" s="193"/>
    </row>
    <row r="32" spans="1:18" s="115" customFormat="1" ht="12.75">
      <c r="H32" s="194"/>
      <c r="O32" s="195"/>
      <c r="R32" s="196"/>
    </row>
    <row r="33" s="115" customFormat="1"/>
  </sheetData>
  <mergeCells count="18">
    <mergeCell ref="A3:P3"/>
    <mergeCell ref="A4:P4"/>
    <mergeCell ref="L9:N9"/>
    <mergeCell ref="O9:P9"/>
    <mergeCell ref="A12:A13"/>
    <mergeCell ref="B12:B13"/>
    <mergeCell ref="C12:C13"/>
    <mergeCell ref="D12:D13"/>
    <mergeCell ref="E12:E13"/>
    <mergeCell ref="F12:K12"/>
    <mergeCell ref="A26:K26"/>
    <mergeCell ref="A27:K27"/>
    <mergeCell ref="L12:P12"/>
    <mergeCell ref="A14:E14"/>
    <mergeCell ref="F14:K14"/>
    <mergeCell ref="L14:P14"/>
    <mergeCell ref="A15:E15"/>
    <mergeCell ref="A25:K25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horizont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K</vt:lpstr>
      <vt:lpstr>O1</vt:lpstr>
      <vt:lpstr>I.st.-1gr.</vt:lpstr>
      <vt:lpstr>I.st.-2gr.</vt:lpstr>
      <vt:lpstr>I.st.-7.gr.</vt:lpstr>
      <vt:lpstr>I.st.-8.gr.</vt:lpstr>
      <vt:lpstr>I.st.-9.gr.</vt:lpstr>
      <vt:lpstr>I.st.-10.gr.</vt:lpstr>
      <vt:lpstr>2.st.-3.gr.</vt:lpstr>
      <vt:lpstr>2.st.-4.gr.</vt:lpstr>
      <vt:lpstr>2.st.-5.gr.</vt:lpstr>
      <vt:lpstr>2.st.-6.gr.</vt:lpstr>
      <vt:lpstr>2.st.-11.gr.</vt:lpstr>
      <vt:lpstr>2.st.-12.gr.</vt:lpstr>
      <vt:lpstr>KOPtelpas</vt:lpstr>
      <vt:lpstr>'2.st.-11.gr.'!Print_Area</vt:lpstr>
      <vt:lpstr>'2.st.-12.gr.'!Print_Area</vt:lpstr>
      <vt:lpstr>'2.st.-3.gr.'!Print_Area</vt:lpstr>
      <vt:lpstr>'2.st.-4.gr.'!Print_Area</vt:lpstr>
      <vt:lpstr>'2.st.-5.gr.'!Print_Area</vt:lpstr>
      <vt:lpstr>'2.st.-6.gr.'!Print_Area</vt:lpstr>
      <vt:lpstr>'I.st.-10.gr.'!Print_Area</vt:lpstr>
      <vt:lpstr>'I.st.-1gr.'!Print_Area</vt:lpstr>
      <vt:lpstr>'I.st.-2gr.'!Print_Area</vt:lpstr>
      <vt:lpstr>'I.st.-7.gr.'!Print_Area</vt:lpstr>
      <vt:lpstr>'I.st.-8.gr.'!Print_Area</vt:lpstr>
      <vt:lpstr>'I.st.-9.gr.'!Print_Area</vt:lpstr>
      <vt:lpstr>K!Print_Area</vt:lpstr>
      <vt:lpstr>KOPtelpas!Print_Area</vt:lpstr>
      <vt:lpstr>'O1'!Print_Area</vt:lpstr>
    </vt:vector>
  </TitlesOfParts>
  <Company>HCData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Zaig_ku</cp:lastModifiedBy>
  <cp:lastPrinted>2015-05-25T09:14:35Z</cp:lastPrinted>
  <dcterms:created xsi:type="dcterms:W3CDTF">2004-03-25T12:48:46Z</dcterms:created>
  <dcterms:modified xsi:type="dcterms:W3CDTF">2015-05-29T11:44:21Z</dcterms:modified>
</cp:coreProperties>
</file>